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dba73962b2cd367/Documents/City of Falmouth/"/>
    </mc:Choice>
  </mc:AlternateContent>
  <xr:revisionPtr revIDLastSave="0" documentId="8_{313F78B4-7E9B-4B4A-87A3-E537607F3D94}" xr6:coauthVersionLast="47" xr6:coauthVersionMax="47" xr10:uidLastSave="{00000000-0000-0000-0000-000000000000}"/>
  <bookViews>
    <workbookView xWindow="1920" yWindow="1845" windowWidth="10425" windowHeight="10605" xr2:uid="{00000000-000D-0000-FFFF-FFFF00000000}"/>
  </bookViews>
  <sheets>
    <sheet name="Trial Balance" sheetId="41" r:id="rId1"/>
    <sheet name="Ref" sheetId="61" r:id="rId2"/>
    <sheet name="Emp Exp" sheetId="54" r:id="rId3"/>
    <sheet name="Emp Sal" sheetId="60" r:id="rId4"/>
    <sheet name="Emp Ins" sheetId="74" r:id="rId5"/>
    <sheet name="Emp Sal Adj" sheetId="49" r:id="rId6"/>
    <sheet name="Electricity" sheetId="52" r:id="rId7"/>
    <sheet name="Matrix" sheetId="33" r:id="rId8"/>
    <sheet name="Depreciation" sheetId="47" r:id="rId9"/>
    <sheet name="System Info. - PCWD" sheetId="18" r:id="rId10"/>
    <sheet name="Wholesale Factors - PCWD" sheetId="19" r:id="rId11"/>
    <sheet name="Rate Computation - PCWD" sheetId="16" r:id="rId12"/>
    <sheet name="Systm Info. - EPCWD" sheetId="71" r:id="rId13"/>
    <sheet name="Wholesal Factors - EPCWD" sheetId="72" r:id="rId14"/>
    <sheet name="Rate Compuration - EPCWD" sheetId="73" r:id="rId15"/>
    <sheet name="System Info." sheetId="69" r:id="rId16"/>
    <sheet name="Wholesale Factors" sheetId="70" r:id="rId17"/>
    <sheet name="Rate Computation" sheetId="68" r:id="rId18"/>
  </sheets>
  <definedNames>
    <definedName name="_xlnm.Print_Area" localSheetId="7">Matrix!$A$1:$M$80</definedName>
    <definedName name="_xlnm.Print_Area" localSheetId="11">'Rate Computation - PCWD'!$A$1:$K$60</definedName>
    <definedName name="_xlnm.Print_Area" localSheetId="9">'System Info. - PCWD'!$A$1:$J$40</definedName>
    <definedName name="_xlnm.Print_Area" localSheetId="0">'Trial Balance'!$B$3:$O$62</definedName>
    <definedName name="_xlnm.Print_Area" localSheetId="10">'Wholesale Factors - PCWD'!$A$1:$K$46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8" l="1"/>
  <c r="F13" i="18" s="1"/>
  <c r="N13" i="18"/>
  <c r="G13" i="18" s="1"/>
  <c r="U13" i="18"/>
  <c r="W13" i="18"/>
  <c r="Z13" i="18"/>
  <c r="AB13" i="18" s="1"/>
  <c r="E14" i="18"/>
  <c r="F14" i="18" s="1"/>
  <c r="N14" i="18"/>
  <c r="G14" i="18" s="1"/>
  <c r="H14" i="18" s="1"/>
  <c r="P14" i="18"/>
  <c r="U14" i="18"/>
  <c r="W14" i="18"/>
  <c r="Z14" i="18"/>
  <c r="AB14" i="18"/>
  <c r="AD14" i="18" s="1"/>
  <c r="E15" i="18"/>
  <c r="F15" i="18" s="1"/>
  <c r="N15" i="18"/>
  <c r="G15" i="18" s="1"/>
  <c r="H15" i="18" s="1"/>
  <c r="P15" i="18"/>
  <c r="U15" i="18"/>
  <c r="W15" i="18" s="1"/>
  <c r="Z15" i="18"/>
  <c r="AB15" i="18"/>
  <c r="AD15" i="18"/>
  <c r="E16" i="18"/>
  <c r="F16" i="18"/>
  <c r="G16" i="18"/>
  <c r="H16" i="18" s="1"/>
  <c r="N16" i="18"/>
  <c r="P16" i="18" s="1"/>
  <c r="U16" i="18"/>
  <c r="W16" i="18"/>
  <c r="Z16" i="18"/>
  <c r="AB16" i="18"/>
  <c r="AD16" i="18"/>
  <c r="E17" i="18"/>
  <c r="F17" i="18" s="1"/>
  <c r="G17" i="18"/>
  <c r="H17" i="18" s="1"/>
  <c r="N17" i="18"/>
  <c r="P17" i="18"/>
  <c r="U17" i="18"/>
  <c r="W17" i="18"/>
  <c r="Z17" i="18"/>
  <c r="AB17" i="18" s="1"/>
  <c r="AD17" i="18" s="1"/>
  <c r="E18" i="18"/>
  <c r="F18" i="18"/>
  <c r="G18" i="18"/>
  <c r="H18" i="18"/>
  <c r="N18" i="18"/>
  <c r="P18" i="18" s="1"/>
  <c r="U18" i="18"/>
  <c r="W18" i="18" s="1"/>
  <c r="Z18" i="18"/>
  <c r="AB18" i="18"/>
  <c r="AD18" i="18" s="1"/>
  <c r="AM18" i="18"/>
  <c r="AU18" i="18" s="1"/>
  <c r="AN18" i="18"/>
  <c r="AN19" i="18" s="1"/>
  <c r="AO18" i="18"/>
  <c r="AO19" i="18" s="1"/>
  <c r="AP18" i="18"/>
  <c r="AP19" i="18" s="1"/>
  <c r="AQ18" i="18"/>
  <c r="AQ19" i="18" s="1"/>
  <c r="AR18" i="18"/>
  <c r="AS18" i="18"/>
  <c r="AT18" i="18"/>
  <c r="E19" i="18"/>
  <c r="F19" i="18"/>
  <c r="N19" i="18"/>
  <c r="G19" i="18" s="1"/>
  <c r="H19" i="18" s="1"/>
  <c r="P19" i="18"/>
  <c r="U19" i="18"/>
  <c r="W19" i="18"/>
  <c r="Z19" i="18"/>
  <c r="AB19" i="18" s="1"/>
  <c r="AD19" i="18" s="1"/>
  <c r="AR19" i="18"/>
  <c r="AS19" i="18"/>
  <c r="AT19" i="18"/>
  <c r="E20" i="18"/>
  <c r="F20" i="18" s="1"/>
  <c r="N20" i="18"/>
  <c r="G20" i="18" s="1"/>
  <c r="H20" i="18" s="1"/>
  <c r="P20" i="18"/>
  <c r="U20" i="18"/>
  <c r="W20" i="18"/>
  <c r="Z20" i="18"/>
  <c r="AB20" i="18"/>
  <c r="AD20" i="18" s="1"/>
  <c r="D21" i="18"/>
  <c r="L21" i="18"/>
  <c r="S21" i="18"/>
  <c r="U21" i="18"/>
  <c r="AM22" i="18"/>
  <c r="AN22" i="18"/>
  <c r="AO22" i="18"/>
  <c r="AP22" i="18"/>
  <c r="AQ22" i="18"/>
  <c r="AR22" i="18"/>
  <c r="AS22" i="18"/>
  <c r="AT22" i="18"/>
  <c r="AU22" i="18"/>
  <c r="AM25" i="18"/>
  <c r="AM28" i="18" s="1"/>
  <c r="AU28" i="18" s="1"/>
  <c r="AN25" i="18"/>
  <c r="AN28" i="18" s="1"/>
  <c r="AO25" i="18"/>
  <c r="AO28" i="18" s="1"/>
  <c r="AP25" i="18"/>
  <c r="AQ25" i="18"/>
  <c r="AR25" i="18"/>
  <c r="AS25" i="18"/>
  <c r="AT25" i="18"/>
  <c r="AM27" i="18"/>
  <c r="AU27" i="18" s="1"/>
  <c r="AN27" i="18"/>
  <c r="AO27" i="18"/>
  <c r="AP27" i="18"/>
  <c r="AQ27" i="18"/>
  <c r="AR27" i="18"/>
  <c r="AS27" i="18"/>
  <c r="AT27" i="18"/>
  <c r="AP28" i="18"/>
  <c r="AQ28" i="18"/>
  <c r="AR28" i="18"/>
  <c r="AS28" i="18"/>
  <c r="AT28" i="18"/>
  <c r="P29" i="18"/>
  <c r="F30" i="18"/>
  <c r="P30" i="18"/>
  <c r="N31" i="18"/>
  <c r="P31" i="18"/>
  <c r="F31" i="18" s="1"/>
  <c r="G34" i="18"/>
  <c r="I10" i="72" s="1"/>
  <c r="F35" i="18"/>
  <c r="G35" i="18" s="1"/>
  <c r="AN55" i="18"/>
  <c r="AP61" i="18"/>
  <c r="AP66" i="18" s="1"/>
  <c r="AP62" i="18"/>
  <c r="AO63" i="18"/>
  <c r="AP63" i="18"/>
  <c r="AP64" i="18"/>
  <c r="AP65" i="18"/>
  <c r="AN66" i="18"/>
  <c r="AO66" i="18"/>
  <c r="E10" i="73"/>
  <c r="E11" i="73"/>
  <c r="E13" i="73"/>
  <c r="E14" i="73"/>
  <c r="E16" i="73"/>
  <c r="E17" i="73"/>
  <c r="E19" i="73"/>
  <c r="E20" i="73"/>
  <c r="E21" i="73"/>
  <c r="E22" i="73"/>
  <c r="E24" i="73"/>
  <c r="E25" i="73"/>
  <c r="E27" i="73"/>
  <c r="E30" i="73"/>
  <c r="E31" i="73"/>
  <c r="E33" i="73"/>
  <c r="E34" i="73"/>
  <c r="E39" i="73"/>
  <c r="E40" i="73"/>
  <c r="E41" i="73"/>
  <c r="E42" i="73"/>
  <c r="E43" i="73"/>
  <c r="I43" i="73" s="1"/>
  <c r="H43" i="73"/>
  <c r="I9" i="72"/>
  <c r="E25" i="72"/>
  <c r="E13" i="71"/>
  <c r="F13" i="71"/>
  <c r="G13" i="71"/>
  <c r="H13" i="71" s="1"/>
  <c r="N13" i="71"/>
  <c r="P13" i="71" s="1"/>
  <c r="U13" i="71"/>
  <c r="W13" i="71" s="1"/>
  <c r="Z13" i="71"/>
  <c r="AB13" i="71"/>
  <c r="AD13" i="71"/>
  <c r="E14" i="71"/>
  <c r="F14" i="71" s="1"/>
  <c r="G14" i="71"/>
  <c r="H14" i="71" s="1"/>
  <c r="N14" i="71"/>
  <c r="P14" i="71"/>
  <c r="U14" i="71"/>
  <c r="W14" i="71"/>
  <c r="Z14" i="71"/>
  <c r="AB14" i="71" s="1"/>
  <c r="E15" i="71"/>
  <c r="F15" i="71"/>
  <c r="G15" i="71"/>
  <c r="H15" i="71"/>
  <c r="N15" i="71"/>
  <c r="P15" i="71" s="1"/>
  <c r="U15" i="71"/>
  <c r="W15" i="71"/>
  <c r="Z15" i="71"/>
  <c r="AB15" i="71" s="1"/>
  <c r="AD15" i="71" s="1"/>
  <c r="E16" i="71"/>
  <c r="F16" i="71"/>
  <c r="G16" i="71"/>
  <c r="H16" i="71" s="1"/>
  <c r="N16" i="71"/>
  <c r="P16" i="71" s="1"/>
  <c r="U16" i="71"/>
  <c r="W16" i="71"/>
  <c r="Z16" i="71"/>
  <c r="AB16" i="71" s="1"/>
  <c r="AD16" i="71" s="1"/>
  <c r="E17" i="71"/>
  <c r="F17" i="71" s="1"/>
  <c r="G17" i="71"/>
  <c r="H17" i="71"/>
  <c r="N17" i="71"/>
  <c r="P17" i="71"/>
  <c r="U17" i="71"/>
  <c r="W17" i="71" s="1"/>
  <c r="Z17" i="71"/>
  <c r="AB17" i="71"/>
  <c r="AD17" i="71" s="1"/>
  <c r="E18" i="71"/>
  <c r="F18" i="71"/>
  <c r="N18" i="71"/>
  <c r="P18" i="71" s="1"/>
  <c r="U18" i="71"/>
  <c r="G18" i="71" s="1"/>
  <c r="H18" i="71" s="1"/>
  <c r="Z18" i="71"/>
  <c r="AB18" i="71"/>
  <c r="AD18" i="71"/>
  <c r="AM18" i="71"/>
  <c r="AN18" i="71"/>
  <c r="AO18" i="71"/>
  <c r="AO19" i="71" s="1"/>
  <c r="AU19" i="71" s="1"/>
  <c r="AP18" i="71"/>
  <c r="AQ18" i="71"/>
  <c r="AQ19" i="71" s="1"/>
  <c r="AR18" i="71"/>
  <c r="AR19" i="71" s="1"/>
  <c r="AS18" i="71"/>
  <c r="AT18" i="71"/>
  <c r="AT19" i="71" s="1"/>
  <c r="E19" i="71"/>
  <c r="F19" i="71"/>
  <c r="G19" i="71"/>
  <c r="H19" i="71" s="1"/>
  <c r="N19" i="71"/>
  <c r="P19" i="71"/>
  <c r="U19" i="71"/>
  <c r="W19" i="71"/>
  <c r="Z19" i="71"/>
  <c r="Z21" i="71" s="1"/>
  <c r="AM19" i="71"/>
  <c r="AN19" i="71"/>
  <c r="AP19" i="71"/>
  <c r="AS19" i="71"/>
  <c r="E20" i="71"/>
  <c r="F20" i="71" s="1"/>
  <c r="G20" i="71"/>
  <c r="H20" i="71" s="1"/>
  <c r="N20" i="71"/>
  <c r="P20" i="71"/>
  <c r="U20" i="71"/>
  <c r="W20" i="71" s="1"/>
  <c r="Z20" i="71"/>
  <c r="AB20" i="71"/>
  <c r="AD20" i="71" s="1"/>
  <c r="D21" i="71"/>
  <c r="E21" i="71"/>
  <c r="L21" i="71"/>
  <c r="S21" i="71"/>
  <c r="AM22" i="71"/>
  <c r="AN22" i="71"/>
  <c r="AO22" i="71"/>
  <c r="AP22" i="71"/>
  <c r="AQ22" i="71"/>
  <c r="AR22" i="71"/>
  <c r="AS22" i="71"/>
  <c r="AT22" i="71"/>
  <c r="AU22" i="71"/>
  <c r="AM25" i="71"/>
  <c r="AM28" i="71" s="1"/>
  <c r="AU28" i="71" s="1"/>
  <c r="AN25" i="71"/>
  <c r="AN28" i="71" s="1"/>
  <c r="AO25" i="71"/>
  <c r="AO28" i="71" s="1"/>
  <c r="AP25" i="71"/>
  <c r="AP28" i="71" s="1"/>
  <c r="AQ25" i="71"/>
  <c r="AQ28" i="71" s="1"/>
  <c r="AR25" i="71"/>
  <c r="AS25" i="71"/>
  <c r="AT25" i="71"/>
  <c r="AU25" i="71"/>
  <c r="AM27" i="71"/>
  <c r="AN27" i="71"/>
  <c r="AO27" i="71"/>
  <c r="AP27" i="71"/>
  <c r="AQ27" i="71"/>
  <c r="AR27" i="71"/>
  <c r="AS27" i="71"/>
  <c r="AT27" i="71"/>
  <c r="AU27" i="71"/>
  <c r="AR28" i="71"/>
  <c r="AS28" i="71"/>
  <c r="AT28" i="71"/>
  <c r="P29" i="71"/>
  <c r="F31" i="71" s="1"/>
  <c r="F30" i="71"/>
  <c r="F32" i="71" s="1"/>
  <c r="P30" i="71"/>
  <c r="N31" i="71"/>
  <c r="G34" i="71"/>
  <c r="F35" i="71"/>
  <c r="G35" i="71"/>
  <c r="AN55" i="71"/>
  <c r="AP61" i="71"/>
  <c r="AP62" i="71"/>
  <c r="AO63" i="71"/>
  <c r="AP63" i="71" s="1"/>
  <c r="AP66" i="71" s="1"/>
  <c r="AP64" i="71"/>
  <c r="AP65" i="71"/>
  <c r="AN66" i="71"/>
  <c r="AO66" i="71"/>
  <c r="E10" i="16"/>
  <c r="E11" i="16"/>
  <c r="E13" i="16"/>
  <c r="E14" i="16"/>
  <c r="E16" i="16"/>
  <c r="E17" i="16"/>
  <c r="E19" i="16"/>
  <c r="E20" i="16"/>
  <c r="E21" i="16"/>
  <c r="E22" i="16"/>
  <c r="E24" i="16"/>
  <c r="E25" i="16"/>
  <c r="E27" i="16"/>
  <c r="E30" i="16"/>
  <c r="E31" i="16"/>
  <c r="E33" i="16"/>
  <c r="E34" i="16"/>
  <c r="E39" i="16"/>
  <c r="E40" i="16"/>
  <c r="E41" i="16"/>
  <c r="E42" i="16"/>
  <c r="E43" i="16"/>
  <c r="H43" i="16"/>
  <c r="I43" i="16"/>
  <c r="I9" i="19"/>
  <c r="E25" i="19" s="1"/>
  <c r="I10" i="19"/>
  <c r="I11" i="19" s="1"/>
  <c r="H5" i="49"/>
  <c r="M5" i="49" s="1"/>
  <c r="H6" i="49"/>
  <c r="L6" i="49" s="1"/>
  <c r="H8" i="49"/>
  <c r="H18" i="49" s="1"/>
  <c r="O8" i="49"/>
  <c r="P8" i="49"/>
  <c r="H9" i="49"/>
  <c r="O9" i="49"/>
  <c r="O18" i="49" s="1"/>
  <c r="P9" i="49"/>
  <c r="H10" i="49"/>
  <c r="L10" i="49" s="1"/>
  <c r="P10" i="49" s="1"/>
  <c r="H11" i="49"/>
  <c r="L11" i="49"/>
  <c r="P11" i="49"/>
  <c r="H12" i="49"/>
  <c r="N12" i="49"/>
  <c r="N18" i="49" s="1"/>
  <c r="H13" i="49"/>
  <c r="M13" i="49"/>
  <c r="P13" i="49" s="1"/>
  <c r="H14" i="49"/>
  <c r="M14" i="49"/>
  <c r="P14" i="49" s="1"/>
  <c r="H15" i="49"/>
  <c r="O15" i="49"/>
  <c r="P15" i="49" s="1"/>
  <c r="H16" i="49"/>
  <c r="N16" i="49"/>
  <c r="M16" i="49" s="1"/>
  <c r="P16" i="49" s="1"/>
  <c r="H17" i="49"/>
  <c r="M17" i="49" s="1"/>
  <c r="P17" i="49" s="1"/>
  <c r="D18" i="49"/>
  <c r="H19" i="49"/>
  <c r="Q25" i="49"/>
  <c r="P26" i="49"/>
  <c r="P27" i="49"/>
  <c r="P28" i="49"/>
  <c r="P29" i="49"/>
  <c r="H30" i="49"/>
  <c r="P30" i="49"/>
  <c r="P31" i="49"/>
  <c r="P33" i="49"/>
  <c r="H37" i="49"/>
  <c r="M43" i="47"/>
  <c r="K42" i="47"/>
  <c r="M44" i="47"/>
  <c r="K44" i="47"/>
  <c r="K43" i="47"/>
  <c r="O44" i="47"/>
  <c r="O43" i="47"/>
  <c r="O42" i="47"/>
  <c r="M42" i="47"/>
  <c r="O41" i="47"/>
  <c r="M41" i="47"/>
  <c r="K41" i="47"/>
  <c r="G41" i="47"/>
  <c r="I41" i="47"/>
  <c r="Q41" i="47"/>
  <c r="S41" i="47"/>
  <c r="U41" i="47"/>
  <c r="G42" i="47"/>
  <c r="I42" i="47"/>
  <c r="G43" i="47"/>
  <c r="I43" i="47"/>
  <c r="S43" i="47" s="1"/>
  <c r="Q43" i="47"/>
  <c r="G44" i="47"/>
  <c r="I44" i="47" s="1"/>
  <c r="F54" i="61"/>
  <c r="F47" i="61"/>
  <c r="F48" i="61"/>
  <c r="J48" i="61" s="1"/>
  <c r="F49" i="61"/>
  <c r="F50" i="61"/>
  <c r="F51" i="61"/>
  <c r="J51" i="61" s="1"/>
  <c r="F52" i="61"/>
  <c r="J52" i="61" s="1"/>
  <c r="F53" i="61"/>
  <c r="F46" i="61"/>
  <c r="J46" i="61" s="1"/>
  <c r="F45" i="61"/>
  <c r="H46" i="61"/>
  <c r="H47" i="61"/>
  <c r="H48" i="61"/>
  <c r="H49" i="61"/>
  <c r="H50" i="61"/>
  <c r="H51" i="61"/>
  <c r="H52" i="61"/>
  <c r="H53" i="61"/>
  <c r="H54" i="61"/>
  <c r="H45" i="61"/>
  <c r="H13" i="61"/>
  <c r="H14" i="61"/>
  <c r="H15" i="61"/>
  <c r="H16" i="61"/>
  <c r="H17" i="61"/>
  <c r="H18" i="61"/>
  <c r="H19" i="61"/>
  <c r="H20" i="61"/>
  <c r="H21" i="61"/>
  <c r="H12" i="61"/>
  <c r="F13" i="61"/>
  <c r="F14" i="61"/>
  <c r="F15" i="61"/>
  <c r="F16" i="61"/>
  <c r="F17" i="61"/>
  <c r="F18" i="61"/>
  <c r="F19" i="61"/>
  <c r="F20" i="61"/>
  <c r="F21" i="61"/>
  <c r="F12" i="61"/>
  <c r="G5" i="60"/>
  <c r="G6" i="60"/>
  <c r="G7" i="60"/>
  <c r="G8" i="60"/>
  <c r="J8" i="60"/>
  <c r="I8" i="60" s="1"/>
  <c r="L8" i="60" s="1"/>
  <c r="G9" i="60"/>
  <c r="I9" i="60"/>
  <c r="L9" i="60"/>
  <c r="I10" i="60"/>
  <c r="L10" i="60"/>
  <c r="G11" i="60"/>
  <c r="K11" i="60"/>
  <c r="L11" i="60" s="1"/>
  <c r="G12" i="60"/>
  <c r="B13" i="60"/>
  <c r="B13" i="74"/>
  <c r="C4" i="74"/>
  <c r="C5" i="74"/>
  <c r="D5" i="74" s="1"/>
  <c r="F5" i="74" s="1"/>
  <c r="C6" i="74"/>
  <c r="D6" i="74" s="1"/>
  <c r="F6" i="74" s="1"/>
  <c r="C7" i="74"/>
  <c r="D7" i="74" s="1"/>
  <c r="F7" i="74" s="1"/>
  <c r="C8" i="74"/>
  <c r="D8" i="74" s="1"/>
  <c r="F8" i="74" s="1"/>
  <c r="C9" i="74"/>
  <c r="D9" i="74" s="1"/>
  <c r="F9" i="74" s="1"/>
  <c r="C10" i="74"/>
  <c r="D10" i="74" s="1"/>
  <c r="F10" i="74" s="1"/>
  <c r="C11" i="74"/>
  <c r="D11" i="74" s="1"/>
  <c r="F11" i="74" s="1"/>
  <c r="C12" i="74"/>
  <c r="D12" i="74" s="1"/>
  <c r="F12" i="74" s="1"/>
  <c r="C3" i="74"/>
  <c r="D3" i="74" s="1"/>
  <c r="G12" i="74"/>
  <c r="G11" i="74"/>
  <c r="G9" i="74"/>
  <c r="G8" i="74"/>
  <c r="G7" i="74"/>
  <c r="G6" i="74"/>
  <c r="G5" i="74"/>
  <c r="D4" i="60"/>
  <c r="H4" i="60" s="1"/>
  <c r="D5" i="60"/>
  <c r="K5" i="60" s="1"/>
  <c r="D6" i="60"/>
  <c r="H6" i="60" s="1"/>
  <c r="L6" i="60" s="1"/>
  <c r="D7" i="60"/>
  <c r="H7" i="60" s="1"/>
  <c r="L7" i="60" s="1"/>
  <c r="D8" i="60"/>
  <c r="D9" i="60"/>
  <c r="D10" i="60"/>
  <c r="D11" i="60"/>
  <c r="D12" i="60"/>
  <c r="D3" i="60"/>
  <c r="I3" i="60" s="1"/>
  <c r="E48" i="47"/>
  <c r="G36" i="47"/>
  <c r="I36" i="47" s="1"/>
  <c r="M36" i="47" s="1"/>
  <c r="U36" i="47" s="1"/>
  <c r="G37" i="47"/>
  <c r="I37" i="47" s="1"/>
  <c r="M37" i="47" s="1"/>
  <c r="U37" i="47" s="1"/>
  <c r="G38" i="47"/>
  <c r="I38" i="47" s="1"/>
  <c r="K38" i="47" s="1"/>
  <c r="U38" i="47" s="1"/>
  <c r="G39" i="47"/>
  <c r="I39" i="47" s="1"/>
  <c r="K39" i="47" s="1"/>
  <c r="U39" i="47" s="1"/>
  <c r="G40" i="47"/>
  <c r="I40" i="47" s="1"/>
  <c r="K40" i="47" s="1"/>
  <c r="U40" i="47" s="1"/>
  <c r="G45" i="47"/>
  <c r="I45" i="47" s="1"/>
  <c r="M45" i="47" s="1"/>
  <c r="U45" i="47" s="1"/>
  <c r="G46" i="47"/>
  <c r="I46" i="47" s="1"/>
  <c r="K46" i="47" s="1"/>
  <c r="U46" i="47" s="1"/>
  <c r="R13" i="33"/>
  <c r="R69" i="33"/>
  <c r="R70" i="33"/>
  <c r="I46" i="41"/>
  <c r="I15" i="72" l="1"/>
  <c r="F36" i="71"/>
  <c r="G36" i="71" s="1"/>
  <c r="G38" i="71" s="1"/>
  <c r="I11" i="72"/>
  <c r="G28" i="72"/>
  <c r="W21" i="18"/>
  <c r="P21" i="71"/>
  <c r="AD13" i="18"/>
  <c r="AD21" i="18" s="1"/>
  <c r="AB21" i="18"/>
  <c r="I18" i="19"/>
  <c r="E36" i="19" s="1"/>
  <c r="G19" i="19"/>
  <c r="AD14" i="71"/>
  <c r="AD21" i="71" s="1"/>
  <c r="H21" i="71"/>
  <c r="I12" i="72" s="1"/>
  <c r="G21" i="72" s="1"/>
  <c r="G21" i="18"/>
  <c r="H13" i="18"/>
  <c r="H21" i="18" s="1"/>
  <c r="I12" i="19" s="1"/>
  <c r="G21" i="19" s="1"/>
  <c r="I14" i="19"/>
  <c r="F32" i="18"/>
  <c r="G31" i="71"/>
  <c r="I14" i="72"/>
  <c r="W21" i="71"/>
  <c r="F21" i="71"/>
  <c r="F21" i="18"/>
  <c r="E36" i="16"/>
  <c r="G30" i="71"/>
  <c r="AU18" i="71"/>
  <c r="W18" i="71"/>
  <c r="E21" i="18"/>
  <c r="G21" i="71"/>
  <c r="AB19" i="71"/>
  <c r="AD19" i="71" s="1"/>
  <c r="Z21" i="18"/>
  <c r="AU25" i="18"/>
  <c r="P13" i="18"/>
  <c r="P21" i="18" s="1"/>
  <c r="P31" i="71"/>
  <c r="U21" i="71"/>
  <c r="N21" i="18"/>
  <c r="G28" i="19"/>
  <c r="E36" i="73"/>
  <c r="AM19" i="18"/>
  <c r="AU19" i="18" s="1"/>
  <c r="N21" i="71"/>
  <c r="H20" i="49"/>
  <c r="H27" i="49"/>
  <c r="N25" i="49"/>
  <c r="N22" i="49"/>
  <c r="L18" i="49"/>
  <c r="P6" i="49"/>
  <c r="O25" i="49"/>
  <c r="P5" i="49"/>
  <c r="M18" i="49"/>
  <c r="M12" i="49"/>
  <c r="P12" i="49" s="1"/>
  <c r="U43" i="47"/>
  <c r="S44" i="47"/>
  <c r="Q44" i="47"/>
  <c r="U44" i="47"/>
  <c r="Q42" i="47"/>
  <c r="S42" i="47"/>
  <c r="S48" i="47"/>
  <c r="J45" i="61"/>
  <c r="J47" i="61"/>
  <c r="J54" i="61"/>
  <c r="J53" i="61"/>
  <c r="J50" i="61"/>
  <c r="J49" i="61"/>
  <c r="J20" i="61"/>
  <c r="J14" i="61"/>
  <c r="J19" i="61"/>
  <c r="J18" i="61"/>
  <c r="J17" i="61"/>
  <c r="J16" i="61"/>
  <c r="J15" i="61"/>
  <c r="J12" i="61"/>
  <c r="J21" i="61"/>
  <c r="J13" i="61"/>
  <c r="L4" i="60"/>
  <c r="H14" i="60"/>
  <c r="L3" i="60"/>
  <c r="L5" i="60"/>
  <c r="K14" i="60"/>
  <c r="J12" i="60"/>
  <c r="J14" i="60" s="1"/>
  <c r="D13" i="60"/>
  <c r="C13" i="74"/>
  <c r="F3" i="74"/>
  <c r="F13" i="74" s="1"/>
  <c r="D4" i="74"/>
  <c r="F4" i="74" s="1"/>
  <c r="I23" i="41"/>
  <c r="H65" i="61"/>
  <c r="H64" i="61"/>
  <c r="H63" i="61"/>
  <c r="I15" i="70"/>
  <c r="H52" i="68"/>
  <c r="I14" i="70"/>
  <c r="F36" i="18" l="1"/>
  <c r="G36" i="18" s="1"/>
  <c r="G38" i="18" s="1"/>
  <c r="G30" i="18"/>
  <c r="I15" i="19"/>
  <c r="I22" i="19"/>
  <c r="I18" i="72"/>
  <c r="E36" i="72" s="1"/>
  <c r="G19" i="72"/>
  <c r="I22" i="72"/>
  <c r="E48" i="16"/>
  <c r="E44" i="16"/>
  <c r="E50" i="16" s="1"/>
  <c r="AB21" i="71"/>
  <c r="G36" i="72"/>
  <c r="E40" i="72"/>
  <c r="G44" i="72"/>
  <c r="I13" i="19"/>
  <c r="G23" i="19" s="1"/>
  <c r="I13" i="72"/>
  <c r="G23" i="72" s="1"/>
  <c r="G34" i="19"/>
  <c r="G42" i="19"/>
  <c r="H52" i="16"/>
  <c r="E38" i="19"/>
  <c r="E38" i="72"/>
  <c r="G42" i="72"/>
  <c r="I43" i="72" s="1"/>
  <c r="G41" i="73" s="1"/>
  <c r="H41" i="73" s="1"/>
  <c r="I41" i="73" s="1"/>
  <c r="H52" i="73"/>
  <c r="G34" i="72"/>
  <c r="E44" i="73"/>
  <c r="E50" i="73" s="1"/>
  <c r="E48" i="73"/>
  <c r="G31" i="18"/>
  <c r="L25" i="49"/>
  <c r="M22" i="49"/>
  <c r="M25" i="49"/>
  <c r="H34" i="49"/>
  <c r="H36" i="49" s="1"/>
  <c r="H38" i="49" s="1"/>
  <c r="H29" i="49"/>
  <c r="H31" i="49" s="1"/>
  <c r="P18" i="49"/>
  <c r="M19" i="49" s="1"/>
  <c r="U42" i="47"/>
  <c r="J55" i="61"/>
  <c r="J22" i="61"/>
  <c r="J27" i="61"/>
  <c r="I12" i="60"/>
  <c r="D13" i="74"/>
  <c r="H66" i="61"/>
  <c r="H67" i="61" s="1"/>
  <c r="H68" i="61" s="1"/>
  <c r="J72" i="61" s="1"/>
  <c r="I13" i="70"/>
  <c r="I12" i="70"/>
  <c r="G14" i="69"/>
  <c r="G15" i="69"/>
  <c r="G16" i="69"/>
  <c r="G17" i="69"/>
  <c r="G18" i="69"/>
  <c r="G19" i="69"/>
  <c r="G20" i="69"/>
  <c r="G13" i="69"/>
  <c r="G23" i="70"/>
  <c r="G21" i="70"/>
  <c r="I22" i="70" s="1"/>
  <c r="I9" i="70"/>
  <c r="AP66" i="69"/>
  <c r="AO66" i="69"/>
  <c r="AQ65" i="69"/>
  <c r="AQ64" i="69"/>
  <c r="AQ63" i="69"/>
  <c r="AP63" i="69"/>
  <c r="AQ62" i="69"/>
  <c r="AQ61" i="69"/>
  <c r="AQ66" i="69" s="1"/>
  <c r="AO55" i="69"/>
  <c r="AO42" i="69"/>
  <c r="AP41" i="69"/>
  <c r="AP42" i="69" s="1"/>
  <c r="F31" i="69" s="1"/>
  <c r="AP40" i="69"/>
  <c r="G35" i="69"/>
  <c r="F35" i="69"/>
  <c r="G34" i="69"/>
  <c r="F30" i="69"/>
  <c r="AU27" i="69"/>
  <c r="AT27" i="69"/>
  <c r="AT28" i="69" s="1"/>
  <c r="AS27" i="69"/>
  <c r="AR27" i="69"/>
  <c r="AQ27" i="69"/>
  <c r="AP27" i="69"/>
  <c r="AO27" i="69"/>
  <c r="AN27" i="69"/>
  <c r="AU25" i="69"/>
  <c r="AT25" i="69"/>
  <c r="AS25" i="69"/>
  <c r="AR25" i="69"/>
  <c r="AQ25" i="69"/>
  <c r="AP25" i="69"/>
  <c r="AO25" i="69"/>
  <c r="AO28" i="69" s="1"/>
  <c r="AN25" i="69"/>
  <c r="AN28" i="69" s="1"/>
  <c r="AU22" i="69"/>
  <c r="AT22" i="69"/>
  <c r="AS22" i="69"/>
  <c r="AR22" i="69"/>
  <c r="AQ22" i="69"/>
  <c r="AP22" i="69"/>
  <c r="AO22" i="69"/>
  <c r="AN22" i="69"/>
  <c r="T21" i="69"/>
  <c r="M21" i="69"/>
  <c r="D21" i="69"/>
  <c r="AA20" i="69"/>
  <c r="AC20" i="69" s="1"/>
  <c r="AE20" i="69" s="1"/>
  <c r="V20" i="69"/>
  <c r="X20" i="69" s="1"/>
  <c r="Q20" i="69"/>
  <c r="O20" i="69"/>
  <c r="H20" i="69"/>
  <c r="F20" i="69"/>
  <c r="E20" i="69"/>
  <c r="AS19" i="69"/>
  <c r="AQ19" i="69"/>
  <c r="AP19" i="69"/>
  <c r="AN19" i="69"/>
  <c r="AE19" i="69"/>
  <c r="AC19" i="69"/>
  <c r="AA19" i="69"/>
  <c r="V19" i="69"/>
  <c r="X19" i="69" s="1"/>
  <c r="O19" i="69"/>
  <c r="Q19" i="69" s="1"/>
  <c r="F19" i="69"/>
  <c r="E19" i="69"/>
  <c r="AU18" i="69"/>
  <c r="AU19" i="69" s="1"/>
  <c r="AT18" i="69"/>
  <c r="AT19" i="69" s="1"/>
  <c r="AS18" i="69"/>
  <c r="AR18" i="69"/>
  <c r="AR19" i="69" s="1"/>
  <c r="AQ18" i="69"/>
  <c r="AP18" i="69"/>
  <c r="AO18" i="69"/>
  <c r="AO19" i="69" s="1"/>
  <c r="AN18" i="69"/>
  <c r="AC18" i="69"/>
  <c r="AE18" i="69" s="1"/>
  <c r="AA18" i="69"/>
  <c r="V18" i="69"/>
  <c r="X18" i="69" s="1"/>
  <c r="Q18" i="69"/>
  <c r="O18" i="69"/>
  <c r="H18" i="69"/>
  <c r="E18" i="69"/>
  <c r="F18" i="69" s="1"/>
  <c r="AA17" i="69"/>
  <c r="AC17" i="69" s="1"/>
  <c r="AE17" i="69" s="1"/>
  <c r="V17" i="69"/>
  <c r="X17" i="69" s="1"/>
  <c r="O17" i="69"/>
  <c r="H17" i="69" s="1"/>
  <c r="E17" i="69"/>
  <c r="F17" i="69" s="1"/>
  <c r="AA16" i="69"/>
  <c r="AC16" i="69" s="1"/>
  <c r="AE16" i="69" s="1"/>
  <c r="X16" i="69"/>
  <c r="V16" i="69"/>
  <c r="O16" i="69"/>
  <c r="H16" i="69" s="1"/>
  <c r="E16" i="69"/>
  <c r="F16" i="69" s="1"/>
  <c r="AC15" i="69"/>
  <c r="AE15" i="69" s="1"/>
  <c r="AA15" i="69"/>
  <c r="V15" i="69"/>
  <c r="V21" i="69" s="1"/>
  <c r="O15" i="69"/>
  <c r="Q15" i="69" s="1"/>
  <c r="H15" i="69"/>
  <c r="F15" i="69"/>
  <c r="E15" i="69"/>
  <c r="AA14" i="69"/>
  <c r="AC14" i="69" s="1"/>
  <c r="AE14" i="69" s="1"/>
  <c r="V14" i="69"/>
  <c r="X14" i="69" s="1"/>
  <c r="Q14" i="69"/>
  <c r="O14" i="69"/>
  <c r="H14" i="69"/>
  <c r="F14" i="69"/>
  <c r="E14" i="69"/>
  <c r="AA13" i="69"/>
  <c r="AA21" i="69" s="1"/>
  <c r="X13" i="69"/>
  <c r="V13" i="69"/>
  <c r="O13" i="69"/>
  <c r="Q13" i="69" s="1"/>
  <c r="E13" i="69"/>
  <c r="E21" i="69" s="1"/>
  <c r="H71" i="61"/>
  <c r="G25" i="72" l="1"/>
  <c r="I25" i="72" s="1"/>
  <c r="E28" i="72" s="1"/>
  <c r="I28" i="72" s="1"/>
  <c r="G32" i="72" s="1"/>
  <c r="I31" i="72" s="1"/>
  <c r="G39" i="72"/>
  <c r="G39" i="19"/>
  <c r="G25" i="19"/>
  <c r="I25" i="19" s="1"/>
  <c r="E28" i="19" s="1"/>
  <c r="I28" i="19" s="1"/>
  <c r="G32" i="19" s="1"/>
  <c r="I31" i="19" s="1"/>
  <c r="I39" i="72"/>
  <c r="G36" i="19"/>
  <c r="E40" i="19"/>
  <c r="I39" i="19" s="1"/>
  <c r="G44" i="19"/>
  <c r="I43" i="19" s="1"/>
  <c r="G41" i="16" s="1"/>
  <c r="H41" i="16" s="1"/>
  <c r="I41" i="16" s="1"/>
  <c r="AR28" i="69"/>
  <c r="AS28" i="69"/>
  <c r="AQ28" i="69"/>
  <c r="AU28" i="69"/>
  <c r="AV22" i="69"/>
  <c r="AV27" i="69"/>
  <c r="AP28" i="69"/>
  <c r="AV28" i="69" s="1"/>
  <c r="M27" i="49"/>
  <c r="M26" i="49"/>
  <c r="M28" i="49"/>
  <c r="M29" i="49"/>
  <c r="M33" i="49"/>
  <c r="M30" i="49"/>
  <c r="M31" i="49"/>
  <c r="M37" i="49"/>
  <c r="P22" i="49"/>
  <c r="N23" i="49" s="1"/>
  <c r="P19" i="49"/>
  <c r="O19" i="49"/>
  <c r="N19" i="49"/>
  <c r="P25" i="49"/>
  <c r="L19" i="49"/>
  <c r="J34" i="61"/>
  <c r="J36" i="61" s="1"/>
  <c r="J29" i="61"/>
  <c r="L12" i="60"/>
  <c r="L14" i="60" s="1"/>
  <c r="I14" i="60"/>
  <c r="I15" i="60" s="1"/>
  <c r="H72" i="61"/>
  <c r="G39" i="70"/>
  <c r="G25" i="70"/>
  <c r="E25" i="70"/>
  <c r="AV19" i="69"/>
  <c r="X21" i="69"/>
  <c r="F32" i="69"/>
  <c r="G31" i="69"/>
  <c r="F13" i="69"/>
  <c r="F21" i="69" s="1"/>
  <c r="Q17" i="69"/>
  <c r="Q16" i="69"/>
  <c r="Q21" i="69" s="1"/>
  <c r="AV18" i="69"/>
  <c r="O21" i="69"/>
  <c r="X15" i="69"/>
  <c r="H19" i="69"/>
  <c r="AV25" i="69"/>
  <c r="AC13" i="69"/>
  <c r="G31" i="16" l="1"/>
  <c r="H31" i="16" s="1"/>
  <c r="I31" i="16" s="1"/>
  <c r="G40" i="16"/>
  <c r="H40" i="16" s="1"/>
  <c r="I40" i="16" s="1"/>
  <c r="G11" i="16"/>
  <c r="H11" i="16" s="1"/>
  <c r="I11" i="16" s="1"/>
  <c r="G42" i="16"/>
  <c r="H42" i="16" s="1"/>
  <c r="I42" i="16" s="1"/>
  <c r="G28" i="16"/>
  <c r="H28" i="16" s="1"/>
  <c r="I28" i="16" s="1"/>
  <c r="G20" i="16"/>
  <c r="H20" i="16" s="1"/>
  <c r="I20" i="16" s="1"/>
  <c r="G25" i="16"/>
  <c r="H25" i="16" s="1"/>
  <c r="I25" i="16" s="1"/>
  <c r="G14" i="16"/>
  <c r="H14" i="16" s="1"/>
  <c r="I14" i="16" s="1"/>
  <c r="G17" i="16"/>
  <c r="H17" i="16" s="1"/>
  <c r="I17" i="16" s="1"/>
  <c r="G34" i="16"/>
  <c r="H34" i="16" s="1"/>
  <c r="I34" i="16" s="1"/>
  <c r="I35" i="19"/>
  <c r="E34" i="19"/>
  <c r="G21" i="73"/>
  <c r="H21" i="73" s="1"/>
  <c r="I21" i="73" s="1"/>
  <c r="G10" i="73"/>
  <c r="H10" i="73" s="1"/>
  <c r="G19" i="73"/>
  <c r="G22" i="73"/>
  <c r="H22" i="73" s="1"/>
  <c r="I22" i="73" s="1"/>
  <c r="G27" i="73"/>
  <c r="H27" i="73" s="1"/>
  <c r="I27" i="73" s="1"/>
  <c r="G24" i="73"/>
  <c r="H24" i="73" s="1"/>
  <c r="I24" i="73" s="1"/>
  <c r="G16" i="73"/>
  <c r="H16" i="73" s="1"/>
  <c r="I16" i="73" s="1"/>
  <c r="G39" i="73"/>
  <c r="H39" i="73" s="1"/>
  <c r="I39" i="73" s="1"/>
  <c r="G13" i="73"/>
  <c r="H13" i="73" s="1"/>
  <c r="I13" i="73" s="1"/>
  <c r="G30" i="73"/>
  <c r="H30" i="73" s="1"/>
  <c r="I30" i="73" s="1"/>
  <c r="G33" i="73"/>
  <c r="H33" i="73" s="1"/>
  <c r="I33" i="73" s="1"/>
  <c r="E34" i="72"/>
  <c r="I35" i="72"/>
  <c r="L27" i="49"/>
  <c r="L29" i="49"/>
  <c r="L30" i="49"/>
  <c r="L28" i="49"/>
  <c r="L33" i="49"/>
  <c r="L26" i="49"/>
  <c r="L31" i="49"/>
  <c r="Q31" i="49" s="1"/>
  <c r="M23" i="49"/>
  <c r="O30" i="49"/>
  <c r="O27" i="49"/>
  <c r="O33" i="49"/>
  <c r="O26" i="49"/>
  <c r="O29" i="49"/>
  <c r="O31" i="49"/>
  <c r="O28" i="49"/>
  <c r="N28" i="49"/>
  <c r="N27" i="49"/>
  <c r="N26" i="49"/>
  <c r="N37" i="49" s="1"/>
  <c r="N33" i="49"/>
  <c r="N31" i="49"/>
  <c r="N29" i="49"/>
  <c r="N30" i="49"/>
  <c r="P16" i="33"/>
  <c r="P20" i="33"/>
  <c r="P17" i="33"/>
  <c r="P66" i="33"/>
  <c r="P19" i="33"/>
  <c r="P65" i="33"/>
  <c r="P18" i="33"/>
  <c r="K15" i="60"/>
  <c r="H15" i="60"/>
  <c r="J15" i="60"/>
  <c r="I25" i="70"/>
  <c r="E28" i="70" s="1"/>
  <c r="H13" i="69"/>
  <c r="H21" i="69" s="1"/>
  <c r="G21" i="69"/>
  <c r="AC21" i="69"/>
  <c r="AE13" i="69"/>
  <c r="AE21" i="69" s="1"/>
  <c r="F36" i="69"/>
  <c r="G36" i="69" s="1"/>
  <c r="G38" i="69" s="1"/>
  <c r="G30" i="69"/>
  <c r="G30" i="16" l="1"/>
  <c r="H30" i="16" s="1"/>
  <c r="I30" i="16" s="1"/>
  <c r="G19" i="16"/>
  <c r="G22" i="16"/>
  <c r="H22" i="16" s="1"/>
  <c r="I22" i="16" s="1"/>
  <c r="G27" i="16"/>
  <c r="H27" i="16" s="1"/>
  <c r="I27" i="16" s="1"/>
  <c r="G16" i="16"/>
  <c r="H16" i="16" s="1"/>
  <c r="I16" i="16" s="1"/>
  <c r="G39" i="16"/>
  <c r="H39" i="16" s="1"/>
  <c r="I39" i="16" s="1"/>
  <c r="I44" i="16" s="1"/>
  <c r="G33" i="16"/>
  <c r="H33" i="16" s="1"/>
  <c r="I33" i="16" s="1"/>
  <c r="G24" i="16"/>
  <c r="H24" i="16" s="1"/>
  <c r="I24" i="16" s="1"/>
  <c r="G13" i="16"/>
  <c r="H13" i="16" s="1"/>
  <c r="I13" i="16" s="1"/>
  <c r="G21" i="16"/>
  <c r="H21" i="16" s="1"/>
  <c r="I21" i="16" s="1"/>
  <c r="G10" i="16"/>
  <c r="H10" i="16" s="1"/>
  <c r="H18" i="73"/>
  <c r="I18" i="73" s="1"/>
  <c r="H19" i="73"/>
  <c r="I19" i="73" s="1"/>
  <c r="I10" i="73"/>
  <c r="G25" i="73"/>
  <c r="H25" i="73" s="1"/>
  <c r="I25" i="73" s="1"/>
  <c r="G20" i="73"/>
  <c r="H20" i="73" s="1"/>
  <c r="I20" i="73" s="1"/>
  <c r="G14" i="73"/>
  <c r="H14" i="73" s="1"/>
  <c r="I14" i="73" s="1"/>
  <c r="G31" i="73"/>
  <c r="H31" i="73" s="1"/>
  <c r="I31" i="73" s="1"/>
  <c r="G28" i="73"/>
  <c r="H28" i="73" s="1"/>
  <c r="I28" i="73" s="1"/>
  <c r="G11" i="73"/>
  <c r="H11" i="73" s="1"/>
  <c r="I11" i="73" s="1"/>
  <c r="G42" i="73"/>
  <c r="H42" i="73" s="1"/>
  <c r="I42" i="73" s="1"/>
  <c r="G17" i="73"/>
  <c r="H17" i="73" s="1"/>
  <c r="I17" i="73" s="1"/>
  <c r="G40" i="73"/>
  <c r="H40" i="73" s="1"/>
  <c r="I40" i="73" s="1"/>
  <c r="I44" i="73" s="1"/>
  <c r="G34" i="73"/>
  <c r="H34" i="73" s="1"/>
  <c r="I34" i="73" s="1"/>
  <c r="Q28" i="49"/>
  <c r="Q26" i="49"/>
  <c r="L37" i="49"/>
  <c r="Q33" i="49"/>
  <c r="Q29" i="49"/>
  <c r="Q30" i="49"/>
  <c r="Q27" i="49"/>
  <c r="R16" i="33"/>
  <c r="R20" i="33"/>
  <c r="R17" i="33"/>
  <c r="R18" i="33"/>
  <c r="R66" i="33"/>
  <c r="R65" i="33"/>
  <c r="R19" i="33"/>
  <c r="Q16" i="33"/>
  <c r="Q20" i="33"/>
  <c r="Q66" i="33"/>
  <c r="Q18" i="33"/>
  <c r="Q65" i="33"/>
  <c r="Q17" i="33"/>
  <c r="Q19" i="33"/>
  <c r="L15" i="60"/>
  <c r="O17" i="33"/>
  <c r="O19" i="33"/>
  <c r="O20" i="33"/>
  <c r="O65" i="33"/>
  <c r="O18" i="33"/>
  <c r="O66" i="33"/>
  <c r="O16" i="33"/>
  <c r="E66" i="33"/>
  <c r="E65" i="33"/>
  <c r="I73" i="33"/>
  <c r="I67" i="33"/>
  <c r="I63" i="33"/>
  <c r="I51" i="33"/>
  <c r="I45" i="33"/>
  <c r="I21" i="33"/>
  <c r="I10" i="16" l="1"/>
  <c r="H36" i="73"/>
  <c r="H19" i="16"/>
  <c r="I19" i="16" s="1"/>
  <c r="H18" i="16"/>
  <c r="I18" i="16" s="1"/>
  <c r="I36" i="73"/>
  <c r="I48" i="73" s="1"/>
  <c r="I50" i="73" s="1"/>
  <c r="Q37" i="49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H44" i="73" l="1"/>
  <c r="H48" i="73"/>
  <c r="H36" i="16"/>
  <c r="I36" i="16"/>
  <c r="I48" i="16" s="1"/>
  <c r="I50" i="16" s="1"/>
  <c r="M38" i="49"/>
  <c r="N38" i="49"/>
  <c r="L38" i="49"/>
  <c r="Q38" i="49" s="1"/>
  <c r="G48" i="47"/>
  <c r="D66" i="33"/>
  <c r="D65" i="33"/>
  <c r="D17" i="33"/>
  <c r="D16" i="33"/>
  <c r="M44" i="41"/>
  <c r="M45" i="41"/>
  <c r="M39" i="41"/>
  <c r="M40" i="41"/>
  <c r="M41" i="41"/>
  <c r="M42" i="41"/>
  <c r="M43" i="41"/>
  <c r="I18" i="41"/>
  <c r="I17" i="41"/>
  <c r="I15" i="41"/>
  <c r="I13" i="41"/>
  <c r="I11" i="41"/>
  <c r="I10" i="41"/>
  <c r="I8" i="41"/>
  <c r="H48" i="16" l="1"/>
  <c r="H44" i="16"/>
  <c r="H50" i="16" s="1"/>
  <c r="H54" i="16" s="1"/>
  <c r="H57" i="16" s="1"/>
  <c r="H58" i="16" s="1"/>
  <c r="H50" i="73"/>
  <c r="H54" i="73" s="1"/>
  <c r="H57" i="73" s="1"/>
  <c r="H58" i="73" s="1"/>
  <c r="D14" i="60"/>
  <c r="D15" i="60" s="1"/>
  <c r="J23" i="61"/>
  <c r="J24" i="61" s="1"/>
  <c r="I9" i="41" s="1"/>
  <c r="J30" i="61"/>
  <c r="J31" i="61" s="1"/>
  <c r="I12" i="41" s="1"/>
  <c r="F14" i="74"/>
  <c r="F15" i="74" s="1"/>
  <c r="J56" i="61"/>
  <c r="J57" i="61" s="1"/>
  <c r="I14" i="41" s="1"/>
  <c r="J37" i="61"/>
  <c r="J38" i="61" s="1"/>
  <c r="I16" i="41" s="1"/>
  <c r="F36" i="54"/>
  <c r="F31" i="54"/>
  <c r="F26" i="54"/>
  <c r="F21" i="54"/>
  <c r="F16" i="54"/>
  <c r="F11" i="54"/>
  <c r="F7" i="54"/>
  <c r="I19" i="41"/>
  <c r="J71" i="61" s="1"/>
  <c r="J73" i="61" s="1"/>
  <c r="I20" i="41" s="1"/>
  <c r="M14" i="41" l="1"/>
  <c r="F18" i="33" s="1"/>
  <c r="G18" i="33" s="1"/>
  <c r="D28" i="52"/>
  <c r="P24" i="33" s="1"/>
  <c r="C28" i="52"/>
  <c r="C29" i="52" s="1"/>
  <c r="B29" i="52"/>
  <c r="M26" i="52"/>
  <c r="B26" i="52"/>
  <c r="N17" i="52"/>
  <c r="E17" i="52"/>
  <c r="N10" i="52"/>
  <c r="E10" i="52"/>
  <c r="O24" i="33" l="1"/>
  <c r="D29" i="52"/>
  <c r="E29" i="52" s="1"/>
  <c r="L63" i="33" l="1"/>
  <c r="D38" i="33"/>
  <c r="G42" i="70" l="1"/>
  <c r="E38" i="33"/>
  <c r="U8" i="33"/>
  <c r="E38" i="70" l="1"/>
  <c r="G34" i="70"/>
  <c r="D61" i="33"/>
  <c r="E61" i="33"/>
  <c r="E58" i="33"/>
  <c r="D12" i="33"/>
  <c r="E12" i="33"/>
  <c r="D54" i="33"/>
  <c r="E54" i="33"/>
  <c r="D72" i="33"/>
  <c r="E72" i="33"/>
  <c r="D36" i="33"/>
  <c r="E36" i="33"/>
  <c r="D27" i="33"/>
  <c r="E27" i="33"/>
  <c r="D49" i="33"/>
  <c r="E49" i="33"/>
  <c r="E48" i="33"/>
  <c r="D59" i="33"/>
  <c r="E59" i="33"/>
  <c r="D39" i="33"/>
  <c r="E39" i="33"/>
  <c r="D34" i="33"/>
  <c r="E34" i="33"/>
  <c r="D42" i="33"/>
  <c r="E42" i="33"/>
  <c r="D40" i="33"/>
  <c r="E40" i="33"/>
  <c r="D43" i="33"/>
  <c r="E43" i="33"/>
  <c r="D69" i="33"/>
  <c r="E69" i="33"/>
  <c r="D30" i="33"/>
  <c r="E30" i="33"/>
  <c r="D32" i="33"/>
  <c r="E32" i="33"/>
  <c r="D29" i="33"/>
  <c r="E29" i="33"/>
  <c r="D71" i="33"/>
  <c r="E71" i="33"/>
  <c r="D37" i="33"/>
  <c r="E37" i="33"/>
  <c r="D28" i="33"/>
  <c r="E28" i="33"/>
  <c r="D50" i="33"/>
  <c r="E50" i="33"/>
  <c r="D60" i="33"/>
  <c r="E60" i="33"/>
  <c r="D35" i="33"/>
  <c r="E35" i="33"/>
  <c r="D41" i="33"/>
  <c r="E41" i="33"/>
  <c r="D44" i="33"/>
  <c r="E44" i="33"/>
  <c r="D70" i="33"/>
  <c r="E70" i="33"/>
  <c r="D31" i="33"/>
  <c r="E31" i="33"/>
  <c r="D33" i="33"/>
  <c r="E33" i="33"/>
  <c r="E57" i="33"/>
  <c r="D62" i="33"/>
  <c r="E62" i="33"/>
  <c r="E16" i="33"/>
  <c r="D18" i="33"/>
  <c r="E18" i="33"/>
  <c r="E17" i="33"/>
  <c r="D20" i="33"/>
  <c r="E20" i="33"/>
  <c r="D19" i="33"/>
  <c r="E19" i="33"/>
  <c r="D10" i="33"/>
  <c r="E10" i="33"/>
  <c r="M46" i="41"/>
  <c r="F71" i="33" s="1"/>
  <c r="M50" i="41"/>
  <c r="F60" i="33" s="1"/>
  <c r="M47" i="41"/>
  <c r="F37" i="33" s="1"/>
  <c r="M48" i="41"/>
  <c r="F28" i="33" s="1"/>
  <c r="M49" i="41"/>
  <c r="F50" i="33" s="1"/>
  <c r="M51" i="41"/>
  <c r="F35" i="33" s="1"/>
  <c r="M52" i="41"/>
  <c r="F41" i="33" s="1"/>
  <c r="M53" i="41"/>
  <c r="F44" i="33" s="1"/>
  <c r="M10" i="41"/>
  <c r="F66" i="33" s="1"/>
  <c r="G50" i="33" l="1"/>
  <c r="H50" i="33"/>
  <c r="G62" i="41"/>
  <c r="K35" i="33"/>
  <c r="J35" i="33"/>
  <c r="H35" i="33"/>
  <c r="G35" i="33"/>
  <c r="H60" i="33"/>
  <c r="G60" i="33"/>
  <c r="J60" i="33"/>
  <c r="K60" i="33"/>
  <c r="K50" i="33"/>
  <c r="J50" i="33"/>
  <c r="H28" i="33"/>
  <c r="G28" i="33"/>
  <c r="K28" i="33"/>
  <c r="J28" i="33"/>
  <c r="H37" i="33"/>
  <c r="K37" i="33"/>
  <c r="G37" i="33"/>
  <c r="J37" i="33"/>
  <c r="J71" i="33"/>
  <c r="H71" i="33"/>
  <c r="R71" i="33" l="1"/>
  <c r="K71" i="33" s="1"/>
  <c r="O71" i="33"/>
  <c r="G71" i="33" s="1"/>
  <c r="R72" i="33"/>
  <c r="O72" i="33"/>
  <c r="I35" i="47"/>
  <c r="I34" i="47"/>
  <c r="I33" i="47"/>
  <c r="I32" i="47"/>
  <c r="I31" i="47"/>
  <c r="I30" i="47"/>
  <c r="O30" i="47" s="1"/>
  <c r="I29" i="47"/>
  <c r="I28" i="47"/>
  <c r="I27" i="47"/>
  <c r="I26" i="47"/>
  <c r="I25" i="47"/>
  <c r="I24" i="47"/>
  <c r="I23" i="47"/>
  <c r="I22" i="47"/>
  <c r="Q22" i="47" s="1"/>
  <c r="I21" i="47"/>
  <c r="Q21" i="47" s="1"/>
  <c r="I20" i="47"/>
  <c r="Q20" i="47" s="1"/>
  <c r="I19" i="47"/>
  <c r="I18" i="47"/>
  <c r="I17" i="47"/>
  <c r="I16" i="47"/>
  <c r="I15" i="47"/>
  <c r="I14" i="47"/>
  <c r="I13" i="47"/>
  <c r="I12" i="47"/>
  <c r="I11" i="47"/>
  <c r="I10" i="47"/>
  <c r="I9" i="47"/>
  <c r="I8" i="47"/>
  <c r="I48" i="47" l="1"/>
  <c r="M29" i="47"/>
  <c r="U29" i="47" s="1"/>
  <c r="K31" i="47"/>
  <c r="U31" i="47" s="1"/>
  <c r="K32" i="47"/>
  <c r="U32" i="47" s="1"/>
  <c r="U30" i="47"/>
  <c r="K33" i="47"/>
  <c r="U33" i="47" s="1"/>
  <c r="K34" i="47"/>
  <c r="U34" i="47" s="1"/>
  <c r="K35" i="47"/>
  <c r="U35" i="47" s="1"/>
  <c r="K27" i="47"/>
  <c r="U27" i="47" s="1"/>
  <c r="Q28" i="47"/>
  <c r="Q48" i="47" s="1"/>
  <c r="K26" i="47"/>
  <c r="U26" i="47" s="1"/>
  <c r="M25" i="47"/>
  <c r="U25" i="47" s="1"/>
  <c r="U21" i="47"/>
  <c r="U22" i="47"/>
  <c r="M23" i="47"/>
  <c r="U23" i="47" s="1"/>
  <c r="M24" i="47"/>
  <c r="U24" i="47" s="1"/>
  <c r="M19" i="47"/>
  <c r="U19" i="47" s="1"/>
  <c r="U20" i="47"/>
  <c r="M18" i="47"/>
  <c r="U18" i="47" s="1"/>
  <c r="K16" i="47"/>
  <c r="U16" i="47" s="1"/>
  <c r="K17" i="47"/>
  <c r="U17" i="47" s="1"/>
  <c r="K15" i="47"/>
  <c r="U15" i="47" s="1"/>
  <c r="K14" i="47"/>
  <c r="U14" i="47" s="1"/>
  <c r="K13" i="47"/>
  <c r="U13" i="47" s="1"/>
  <c r="M12" i="47"/>
  <c r="K10" i="47"/>
  <c r="U10" i="47" s="1"/>
  <c r="K11" i="47"/>
  <c r="U11" i="47" s="1"/>
  <c r="K9" i="47"/>
  <c r="U9" i="47" s="1"/>
  <c r="M8" i="47"/>
  <c r="U8" i="47" s="1"/>
  <c r="U28" i="47" l="1"/>
  <c r="U12" i="47"/>
  <c r="F110" i="33" l="1"/>
  <c r="M9" i="41"/>
  <c r="M16" i="41"/>
  <c r="F17" i="33" s="1"/>
  <c r="M12" i="41"/>
  <c r="F16" i="33" s="1"/>
  <c r="F65" i="33" l="1"/>
  <c r="G65" i="33" s="1"/>
  <c r="I61" i="41"/>
  <c r="M61" i="41" s="1"/>
  <c r="F12" i="33" s="1"/>
  <c r="F14" i="33" s="1"/>
  <c r="Q50" i="47"/>
  <c r="S50" i="47"/>
  <c r="R12" i="33" s="1"/>
  <c r="S53" i="47" l="1"/>
  <c r="F109" i="33"/>
  <c r="Q53" i="47"/>
  <c r="Q12" i="33"/>
  <c r="F111" i="33" l="1"/>
  <c r="G110" i="33" s="1"/>
  <c r="G109" i="33"/>
  <c r="G111" i="33" s="1"/>
  <c r="O41" i="33"/>
  <c r="G41" i="33" s="1"/>
  <c r="O40" i="33"/>
  <c r="G17" i="33"/>
  <c r="O43" i="33"/>
  <c r="O38" i="33"/>
  <c r="G16" i="33"/>
  <c r="O44" i="33"/>
  <c r="G44" i="33" s="1"/>
  <c r="O39" i="33"/>
  <c r="Q41" i="33"/>
  <c r="J41" i="33" s="1"/>
  <c r="Q40" i="33"/>
  <c r="Q38" i="33"/>
  <c r="Q39" i="33"/>
  <c r="J16" i="33"/>
  <c r="Q43" i="33"/>
  <c r="J18" i="33"/>
  <c r="Q44" i="33"/>
  <c r="J44" i="33" s="1"/>
  <c r="J17" i="33"/>
  <c r="J65" i="33"/>
  <c r="R40" i="33"/>
  <c r="R41" i="33"/>
  <c r="K41" i="33" s="1"/>
  <c r="R43" i="33"/>
  <c r="K16" i="33"/>
  <c r="R44" i="33"/>
  <c r="K44" i="33" s="1"/>
  <c r="R38" i="33"/>
  <c r="K65" i="33"/>
  <c r="K17" i="33"/>
  <c r="R39" i="33"/>
  <c r="K18" i="33"/>
  <c r="P40" i="33"/>
  <c r="P41" i="33"/>
  <c r="H41" i="33" s="1"/>
  <c r="P38" i="33"/>
  <c r="H18" i="33"/>
  <c r="P39" i="33"/>
  <c r="P43" i="33"/>
  <c r="H65" i="33"/>
  <c r="H17" i="33"/>
  <c r="H16" i="33"/>
  <c r="P44" i="33"/>
  <c r="H44" i="33" s="1"/>
  <c r="U41" i="33" l="1"/>
  <c r="U65" i="33"/>
  <c r="V65" i="33" s="1"/>
  <c r="O48" i="47" l="1"/>
  <c r="O50" i="47" s="1"/>
  <c r="O53" i="47" s="1"/>
  <c r="I12" i="33" s="1"/>
  <c r="I14" i="33" s="1"/>
  <c r="I75" i="33" s="1"/>
  <c r="M48" i="47"/>
  <c r="M50" i="47" s="1"/>
  <c r="P13" i="33"/>
  <c r="P69" i="33"/>
  <c r="P70" i="33"/>
  <c r="Q13" i="33"/>
  <c r="Q69" i="33"/>
  <c r="Q70" i="33"/>
  <c r="E41" i="68" l="1"/>
  <c r="O13" i="33"/>
  <c r="M53" i="47"/>
  <c r="P12" i="33"/>
  <c r="O69" i="33"/>
  <c r="O70" i="33"/>
  <c r="M60" i="41"/>
  <c r="F58" i="33" s="1"/>
  <c r="M58" i="41"/>
  <c r="F62" i="33" s="1"/>
  <c r="M55" i="41"/>
  <c r="F31" i="33" s="1"/>
  <c r="M54" i="41"/>
  <c r="F70" i="33" s="1"/>
  <c r="M38" i="41"/>
  <c r="F29" i="33" s="1"/>
  <c r="M35" i="41"/>
  <c r="F69" i="33" s="1"/>
  <c r="M33" i="41"/>
  <c r="F40" i="33" s="1"/>
  <c r="M30" i="41"/>
  <c r="F34" i="33" s="1"/>
  <c r="M29" i="41"/>
  <c r="F39" i="33" s="1"/>
  <c r="M28" i="41"/>
  <c r="F59" i="33" s="1"/>
  <c r="M25" i="41"/>
  <c r="F27" i="33" s="1"/>
  <c r="M23" i="41"/>
  <c r="F72" i="33" s="1"/>
  <c r="M18" i="41"/>
  <c r="M17" i="41"/>
  <c r="K48" i="47" l="1"/>
  <c r="K50" i="47" s="1"/>
  <c r="U48" i="47"/>
  <c r="F20" i="33"/>
  <c r="J20" i="33" s="1"/>
  <c r="F19" i="33"/>
  <c r="G19" i="33" s="1"/>
  <c r="G20" i="33"/>
  <c r="H20" i="33"/>
  <c r="F21" i="33"/>
  <c r="H19" i="33"/>
  <c r="J19" i="33"/>
  <c r="K59" i="33"/>
  <c r="J59" i="33"/>
  <c r="G59" i="33"/>
  <c r="H59" i="33"/>
  <c r="J27" i="33"/>
  <c r="G27" i="33"/>
  <c r="K27" i="33"/>
  <c r="H27" i="33"/>
  <c r="K40" i="33"/>
  <c r="J40" i="33"/>
  <c r="H40" i="33"/>
  <c r="G40" i="33"/>
  <c r="G31" i="33"/>
  <c r="K31" i="33"/>
  <c r="J31" i="33"/>
  <c r="H31" i="33"/>
  <c r="K39" i="33"/>
  <c r="H39" i="33"/>
  <c r="G39" i="33"/>
  <c r="J39" i="33"/>
  <c r="J29" i="33"/>
  <c r="G29" i="33"/>
  <c r="K29" i="33"/>
  <c r="H29" i="33"/>
  <c r="K62" i="33"/>
  <c r="J62" i="33"/>
  <c r="H62" i="33"/>
  <c r="G62" i="33"/>
  <c r="F73" i="33"/>
  <c r="H69" i="33"/>
  <c r="J69" i="33"/>
  <c r="K69" i="33"/>
  <c r="G69" i="33"/>
  <c r="K58" i="33"/>
  <c r="J58" i="33"/>
  <c r="G58" i="33"/>
  <c r="H58" i="33"/>
  <c r="H34" i="33"/>
  <c r="G34" i="33"/>
  <c r="K34" i="33"/>
  <c r="J34" i="33"/>
  <c r="H70" i="33"/>
  <c r="J70" i="33"/>
  <c r="K70" i="33"/>
  <c r="G70" i="33"/>
  <c r="J72" i="33"/>
  <c r="H72" i="33"/>
  <c r="K72" i="33"/>
  <c r="G72" i="33"/>
  <c r="M26" i="41"/>
  <c r="F49" i="33" s="1"/>
  <c r="M36" i="41"/>
  <c r="F30" i="33" s="1"/>
  <c r="M22" i="41"/>
  <c r="F54" i="33" s="1"/>
  <c r="M27" i="41"/>
  <c r="F48" i="33" s="1"/>
  <c r="M32" i="41"/>
  <c r="F38" i="33" s="1"/>
  <c r="M37" i="41"/>
  <c r="F32" i="33" s="1"/>
  <c r="M57" i="41"/>
  <c r="F57" i="33" s="1"/>
  <c r="M31" i="41"/>
  <c r="F42" i="33" s="1"/>
  <c r="M56" i="41"/>
  <c r="F33" i="33" s="1"/>
  <c r="M24" i="41"/>
  <c r="F36" i="33" s="1"/>
  <c r="J36" i="33" s="1"/>
  <c r="M34" i="41"/>
  <c r="M59" i="41"/>
  <c r="F61" i="33" s="1"/>
  <c r="H61" i="33" s="1"/>
  <c r="K20" i="33" l="1"/>
  <c r="K53" i="47"/>
  <c r="U53" i="47" s="1"/>
  <c r="O12" i="33"/>
  <c r="U50" i="47"/>
  <c r="U40" i="33"/>
  <c r="F43" i="33"/>
  <c r="G43" i="33" s="1"/>
  <c r="K19" i="33"/>
  <c r="U62" i="33"/>
  <c r="V62" i="33" s="1"/>
  <c r="F45" i="33"/>
  <c r="G57" i="33"/>
  <c r="J57" i="33"/>
  <c r="H57" i="33"/>
  <c r="K57" i="33"/>
  <c r="F63" i="33"/>
  <c r="G38" i="33"/>
  <c r="J38" i="33"/>
  <c r="K38" i="33"/>
  <c r="H38" i="33"/>
  <c r="H30" i="33"/>
  <c r="G30" i="33"/>
  <c r="J30" i="33"/>
  <c r="K30" i="33"/>
  <c r="G32" i="33"/>
  <c r="H32" i="33"/>
  <c r="K32" i="33"/>
  <c r="J32" i="33"/>
  <c r="J43" i="33"/>
  <c r="G49" i="33"/>
  <c r="J49" i="33"/>
  <c r="K49" i="33"/>
  <c r="H49" i="33"/>
  <c r="K54" i="33"/>
  <c r="J54" i="33"/>
  <c r="H54" i="33"/>
  <c r="G54" i="33"/>
  <c r="N54" i="33" s="1"/>
  <c r="J61" i="33"/>
  <c r="G61" i="33"/>
  <c r="K61" i="33"/>
  <c r="H36" i="33"/>
  <c r="G36" i="33"/>
  <c r="K36" i="33"/>
  <c r="J42" i="33"/>
  <c r="H42" i="33"/>
  <c r="G42" i="33"/>
  <c r="K42" i="33"/>
  <c r="F51" i="33"/>
  <c r="K48" i="33"/>
  <c r="G48" i="33"/>
  <c r="H48" i="33"/>
  <c r="J48" i="33"/>
  <c r="J33" i="33"/>
  <c r="K33" i="33"/>
  <c r="H33" i="33"/>
  <c r="G33" i="33"/>
  <c r="K43" i="33" l="1"/>
  <c r="H43" i="33"/>
  <c r="E21" i="68"/>
  <c r="E27" i="68"/>
  <c r="U61" i="33"/>
  <c r="V61" i="33" s="1"/>
  <c r="K12" i="33"/>
  <c r="K14" i="33" s="1"/>
  <c r="J12" i="33"/>
  <c r="J14" i="33" s="1"/>
  <c r="H12" i="33"/>
  <c r="H14" i="33" s="1"/>
  <c r="G12" i="33"/>
  <c r="G14" i="33" s="1"/>
  <c r="N14" i="33" l="1"/>
  <c r="E39" i="68"/>
  <c r="E43" i="68"/>
  <c r="E40" i="68"/>
  <c r="E42" i="68"/>
  <c r="K91" i="33"/>
  <c r="K90" i="33"/>
  <c r="H89" i="33"/>
  <c r="K88" i="33"/>
  <c r="K87" i="33"/>
  <c r="K86" i="33"/>
  <c r="K85" i="33"/>
  <c r="K84" i="33"/>
  <c r="I43" i="68" l="1"/>
  <c r="H43" i="68"/>
  <c r="G84" i="33"/>
  <c r="G87" i="33"/>
  <c r="K89" i="33"/>
  <c r="K99" i="33" s="1"/>
  <c r="G90" i="33"/>
  <c r="H90" i="33"/>
  <c r="J90" i="33"/>
  <c r="J84" i="33"/>
  <c r="H87" i="33"/>
  <c r="J89" i="33"/>
  <c r="G85" i="33"/>
  <c r="J87" i="33"/>
  <c r="H85" i="33"/>
  <c r="J85" i="33"/>
  <c r="G88" i="33"/>
  <c r="H88" i="33"/>
  <c r="G86" i="33"/>
  <c r="J88" i="33"/>
  <c r="G91" i="33"/>
  <c r="H86" i="33"/>
  <c r="H91" i="33"/>
  <c r="J86" i="33"/>
  <c r="G89" i="33"/>
  <c r="J91" i="33"/>
  <c r="F99" i="33"/>
  <c r="H84" i="33"/>
  <c r="G99" i="33" l="1"/>
  <c r="J99" i="33"/>
  <c r="J100" i="33" s="1"/>
  <c r="H99" i="33"/>
  <c r="G100" i="33" l="1"/>
  <c r="K101" i="33"/>
  <c r="J101" i="33"/>
  <c r="H101" i="33"/>
  <c r="G103" i="33"/>
  <c r="H100" i="33"/>
  <c r="K100" i="33" l="1"/>
  <c r="G73" i="33"/>
  <c r="K63" i="33"/>
  <c r="J63" i="33"/>
  <c r="H63" i="33"/>
  <c r="G63" i="33"/>
  <c r="H51" i="33"/>
  <c r="G51" i="33"/>
  <c r="U36" i="33"/>
  <c r="V36" i="33" s="1"/>
  <c r="U18" i="33"/>
  <c r="V18" i="33" s="1"/>
  <c r="N63" i="33" l="1"/>
  <c r="E17" i="68"/>
  <c r="E16" i="68"/>
  <c r="E24" i="68"/>
  <c r="E25" i="68"/>
  <c r="E33" i="68"/>
  <c r="O64" i="33"/>
  <c r="H73" i="33"/>
  <c r="J73" i="33"/>
  <c r="K73" i="33"/>
  <c r="J51" i="33"/>
  <c r="N51" i="33" s="1"/>
  <c r="K51" i="33"/>
  <c r="J45" i="33"/>
  <c r="H45" i="33"/>
  <c r="G45" i="33"/>
  <c r="J21" i="33"/>
  <c r="H21" i="33"/>
  <c r="G21" i="33"/>
  <c r="U38" i="33"/>
  <c r="V38" i="33" s="1"/>
  <c r="U34" i="33"/>
  <c r="V34" i="33" s="1"/>
  <c r="U32" i="33"/>
  <c r="V32" i="33" s="1"/>
  <c r="U30" i="33"/>
  <c r="V30" i="33" s="1"/>
  <c r="U37" i="33"/>
  <c r="V37" i="33" s="1"/>
  <c r="U50" i="33"/>
  <c r="V50" i="33" s="1"/>
  <c r="U59" i="33"/>
  <c r="V59" i="33" s="1"/>
  <c r="U60" i="33"/>
  <c r="V60" i="33" s="1"/>
  <c r="U69" i="33"/>
  <c r="V69" i="33" s="1"/>
  <c r="U70" i="33"/>
  <c r="V70" i="33" s="1"/>
  <c r="U39" i="33"/>
  <c r="V39" i="33" s="1"/>
  <c r="U35" i="33"/>
  <c r="V35" i="33" s="1"/>
  <c r="U49" i="33"/>
  <c r="V49" i="33" s="1"/>
  <c r="U43" i="33"/>
  <c r="V43" i="33" s="1"/>
  <c r="V40" i="33"/>
  <c r="U31" i="33"/>
  <c r="V31" i="33" s="1"/>
  <c r="U16" i="33"/>
  <c r="U72" i="33"/>
  <c r="V72" i="33" s="1"/>
  <c r="V41" i="33"/>
  <c r="U17" i="33"/>
  <c r="V17" i="33" s="1"/>
  <c r="U33" i="33"/>
  <c r="V33" i="33" s="1"/>
  <c r="U71" i="33"/>
  <c r="V71" i="33" s="1"/>
  <c r="U28" i="33"/>
  <c r="V28" i="33" s="1"/>
  <c r="U29" i="33"/>
  <c r="V29" i="33" s="1"/>
  <c r="U44" i="33"/>
  <c r="V44" i="33" s="1"/>
  <c r="N73" i="33" l="1"/>
  <c r="E13" i="68"/>
  <c r="E30" i="68"/>
  <c r="E31" i="68"/>
  <c r="E14" i="68"/>
  <c r="E34" i="68"/>
  <c r="O52" i="33"/>
  <c r="K45" i="33"/>
  <c r="N45" i="33" s="1"/>
  <c r="K21" i="33"/>
  <c r="N21" i="33" s="1"/>
  <c r="U19" i="33"/>
  <c r="V19" i="33" s="1"/>
  <c r="U48" i="33"/>
  <c r="V48" i="33" s="1"/>
  <c r="U20" i="33"/>
  <c r="V20" i="33" s="1"/>
  <c r="U27" i="33"/>
  <c r="V27" i="33" s="1"/>
  <c r="U42" i="33"/>
  <c r="V42" i="33" s="1"/>
  <c r="V16" i="33"/>
  <c r="O22" i="33" l="1"/>
  <c r="O46" i="33"/>
  <c r="F67" i="33" l="1"/>
  <c r="H66" i="33"/>
  <c r="H67" i="33" s="1"/>
  <c r="K66" i="33"/>
  <c r="K67" i="33" s="1"/>
  <c r="J66" i="33"/>
  <c r="J67" i="33" s="1"/>
  <c r="G66" i="33"/>
  <c r="U57" i="33"/>
  <c r="V57" i="33" s="1"/>
  <c r="U54" i="33"/>
  <c r="V54" i="33" s="1"/>
  <c r="U58" i="33"/>
  <c r="E11" i="68" l="1"/>
  <c r="G67" i="33"/>
  <c r="N67" i="33" s="1"/>
  <c r="U66" i="33"/>
  <c r="V66" i="33" s="1"/>
  <c r="V58" i="33"/>
  <c r="E10" i="68" l="1"/>
  <c r="U75" i="33"/>
  <c r="O68" i="33"/>
  <c r="I10" i="70" l="1"/>
  <c r="G28" i="70" l="1"/>
  <c r="I28" i="70" s="1"/>
  <c r="G32" i="70" s="1"/>
  <c r="I31" i="70" s="1"/>
  <c r="I11" i="70"/>
  <c r="G44" i="70"/>
  <c r="I43" i="70" s="1"/>
  <c r="G36" i="70"/>
  <c r="E40" i="70"/>
  <c r="I39" i="70" s="1"/>
  <c r="G41" i="68"/>
  <c r="H41" i="68" s="1"/>
  <c r="I41" i="68" s="1"/>
  <c r="G19" i="70" l="1"/>
  <c r="I18" i="70"/>
  <c r="E36" i="70" s="1"/>
  <c r="G42" i="68"/>
  <c r="H42" i="68" s="1"/>
  <c r="I42" i="68" s="1"/>
  <c r="G40" i="68"/>
  <c r="H40" i="68" s="1"/>
  <c r="I40" i="68" s="1"/>
  <c r="G20" i="68"/>
  <c r="G25" i="68"/>
  <c r="H25" i="68" s="1"/>
  <c r="I25" i="68" s="1"/>
  <c r="G17" i="68"/>
  <c r="H17" i="68" s="1"/>
  <c r="I17" i="68" s="1"/>
  <c r="G34" i="68"/>
  <c r="H34" i="68" s="1"/>
  <c r="I34" i="68" s="1"/>
  <c r="G14" i="68"/>
  <c r="H14" i="68" s="1"/>
  <c r="G31" i="68"/>
  <c r="H31" i="68" s="1"/>
  <c r="I31" i="68" s="1"/>
  <c r="G11" i="68"/>
  <c r="H11" i="68" s="1"/>
  <c r="I11" i="68" s="1"/>
  <c r="G28" i="68"/>
  <c r="H28" i="68" s="1"/>
  <c r="I28" i="68" s="1"/>
  <c r="H73" i="61"/>
  <c r="I21" i="41" s="1"/>
  <c r="M21" i="41" s="1"/>
  <c r="F10" i="33" s="1"/>
  <c r="E34" i="70"/>
  <c r="I35" i="70"/>
  <c r="I14" i="68" l="1"/>
  <c r="G24" i="68"/>
  <c r="H24" i="68" s="1"/>
  <c r="I24" i="68" s="1"/>
  <c r="G39" i="68"/>
  <c r="H39" i="68" s="1"/>
  <c r="G19" i="68"/>
  <c r="H18" i="68" s="1"/>
  <c r="I18" i="68" s="1"/>
  <c r="G22" i="68"/>
  <c r="G27" i="68"/>
  <c r="H27" i="68" s="1"/>
  <c r="I27" i="68" s="1"/>
  <c r="G21" i="68"/>
  <c r="H21" i="68" s="1"/>
  <c r="I21" i="68" s="1"/>
  <c r="G16" i="68"/>
  <c r="H16" i="68" s="1"/>
  <c r="I16" i="68" s="1"/>
  <c r="G10" i="68"/>
  <c r="H10" i="68" s="1"/>
  <c r="I10" i="68" s="1"/>
  <c r="G33" i="68"/>
  <c r="H33" i="68" s="1"/>
  <c r="I33" i="68" s="1"/>
  <c r="G13" i="68"/>
  <c r="H13" i="68" s="1"/>
  <c r="I13" i="68" s="1"/>
  <c r="G30" i="68"/>
  <c r="H30" i="68" s="1"/>
  <c r="I30" i="68" s="1"/>
  <c r="H10" i="33"/>
  <c r="G10" i="33"/>
  <c r="J10" i="33"/>
  <c r="K10" i="33"/>
  <c r="M20" i="41"/>
  <c r="I62" i="41"/>
  <c r="N10" i="33" l="1"/>
  <c r="F24" i="33"/>
  <c r="F75" i="33" s="1"/>
  <c r="M62" i="41"/>
  <c r="E22" i="68"/>
  <c r="H22" i="68" s="1"/>
  <c r="I22" i="68" s="1"/>
  <c r="I39" i="68"/>
  <c r="I44" i="68" s="1"/>
  <c r="F77" i="33" l="1"/>
  <c r="K24" i="33"/>
  <c r="K75" i="33" s="1"/>
  <c r="J24" i="33"/>
  <c r="J75" i="33" s="1"/>
  <c r="H24" i="33"/>
  <c r="G24" i="33"/>
  <c r="N24" i="33" l="1"/>
  <c r="N74" i="33" s="1"/>
  <c r="G75" i="33"/>
  <c r="H75" i="33"/>
  <c r="E20" i="68"/>
  <c r="H20" i="68" s="1"/>
  <c r="I20" i="68" s="1"/>
  <c r="O79" i="33"/>
  <c r="V75" i="33"/>
  <c r="E19" i="68"/>
  <c r="F78" i="33"/>
  <c r="H19" i="68" l="1"/>
  <c r="E36" i="68"/>
  <c r="N75" i="33"/>
  <c r="G77" i="33"/>
  <c r="G78" i="33" l="1"/>
  <c r="N77" i="33"/>
  <c r="I19" i="68"/>
  <c r="I36" i="68" s="1"/>
  <c r="I48" i="68" s="1"/>
  <c r="I50" i="68" s="1"/>
  <c r="H36" i="68"/>
  <c r="H48" i="68" s="1"/>
  <c r="E44" i="68"/>
  <c r="E48" i="68"/>
  <c r="H44" i="68" l="1"/>
  <c r="E50" i="68"/>
  <c r="H50" i="68" l="1"/>
  <c r="H54" i="68" l="1"/>
  <c r="H57" i="68" s="1"/>
  <c r="H58" i="68" s="1"/>
</calcChain>
</file>

<file path=xl/sharedStrings.xml><?xml version="1.0" encoding="utf-8"?>
<sst xmlns="http://schemas.openxmlformats.org/spreadsheetml/2006/main" count="1228" uniqueCount="443">
  <si>
    <t>Table B</t>
  </si>
  <si>
    <t>Total Operating Expenses</t>
  </si>
  <si>
    <t>Depreciation Expense</t>
  </si>
  <si>
    <t>Purchased Power</t>
  </si>
  <si>
    <t>Totals</t>
  </si>
  <si>
    <t>Size</t>
  </si>
  <si>
    <t>Percent</t>
  </si>
  <si>
    <t>WHOLESALE RATE COMPUTATION</t>
  </si>
  <si>
    <t>Allocation</t>
  </si>
  <si>
    <t>Wholesale</t>
  </si>
  <si>
    <t>Total</t>
  </si>
  <si>
    <t>Factor</t>
  </si>
  <si>
    <t>Retail</t>
  </si>
  <si>
    <t>Salaries &amp; Wages</t>
  </si>
  <si>
    <t>Trans./Distribution</t>
  </si>
  <si>
    <t>PTF</t>
  </si>
  <si>
    <t>Admin &amp; General</t>
  </si>
  <si>
    <t>UF</t>
  </si>
  <si>
    <t>Trans. / Distribution</t>
  </si>
  <si>
    <t>Customer</t>
  </si>
  <si>
    <t>Total Revenue Required</t>
  </si>
  <si>
    <t>Wholesale Gallons Sold (x 1,000)</t>
  </si>
  <si>
    <t>Distribution</t>
  </si>
  <si>
    <t>SYSTEM INFORMATION</t>
  </si>
  <si>
    <t>Schedule of All Mains and Jointly Used Mains</t>
  </si>
  <si>
    <t>Total System</t>
  </si>
  <si>
    <t>Main</t>
  </si>
  <si>
    <t>Length</t>
  </si>
  <si>
    <t>Miles of</t>
  </si>
  <si>
    <t>Inch -</t>
  </si>
  <si>
    <t>(feet)</t>
  </si>
  <si>
    <t>Mains</t>
  </si>
  <si>
    <t>Miles</t>
  </si>
  <si>
    <t>Water Purchased, Sold and Used</t>
  </si>
  <si>
    <t>Gallons</t>
  </si>
  <si>
    <t>x 1,000</t>
  </si>
  <si>
    <t xml:space="preserve">   Retail Sales</t>
  </si>
  <si>
    <t xml:space="preserve">   Wholesale Sales</t>
  </si>
  <si>
    <t>Total Water Sold</t>
  </si>
  <si>
    <t>System Flushing</t>
  </si>
  <si>
    <t>Line Losses</t>
  </si>
  <si>
    <t>WHOLESALE ALLOCATION FACTORS</t>
  </si>
  <si>
    <t>FACTOR</t>
  </si>
  <si>
    <t>Line Loss Percentage</t>
  </si>
  <si>
    <t>Joint Use Inch-miles</t>
  </si>
  <si>
    <t>Total Inch-Miles</t>
  </si>
  <si>
    <t>Water Sold - Wholesale</t>
  </si>
  <si>
    <t>Water Sold - Total</t>
  </si>
  <si>
    <t>Production Multiplier</t>
  </si>
  <si>
    <t>=</t>
  </si>
  <si>
    <t>-</t>
  </si>
  <si>
    <t>Joint Use Pipeline Ratio</t>
  </si>
  <si>
    <t>x</t>
  </si>
  <si>
    <t>Wholesale Production Multiplier</t>
  </si>
  <si>
    <t>-----------------</t>
  </si>
  <si>
    <t>Pipeline Transmission Factor</t>
  </si>
  <si>
    <t>Use Factor</t>
  </si>
  <si>
    <t>Water Production</t>
  </si>
  <si>
    <t>Employee Benefits + Taxes</t>
  </si>
  <si>
    <t>Water Produced</t>
  </si>
  <si>
    <t>Water Used at WTP</t>
  </si>
  <si>
    <t>Line Loss + Plant Use</t>
  </si>
  <si>
    <t>Plant Use Percentage</t>
  </si>
  <si>
    <t>Joint Share Line Loss + Plant Use</t>
  </si>
  <si>
    <t>+</t>
  </si>
  <si>
    <t>Water</t>
  </si>
  <si>
    <t>Treatment</t>
  </si>
  <si>
    <t>Table E</t>
  </si>
  <si>
    <t>Insurance</t>
  </si>
  <si>
    <t>Laboratory</t>
  </si>
  <si>
    <t>6"</t>
  </si>
  <si>
    <t>8"</t>
  </si>
  <si>
    <t>12"</t>
  </si>
  <si>
    <t>16"</t>
  </si>
  <si>
    <t>10"</t>
  </si>
  <si>
    <t>4"</t>
  </si>
  <si>
    <t>miles</t>
  </si>
  <si>
    <t>Chemicals &amp; Chlorine</t>
  </si>
  <si>
    <t>General Expenses</t>
  </si>
  <si>
    <t>Production</t>
  </si>
  <si>
    <t>Transmission</t>
  </si>
  <si>
    <t>&amp; Distribution</t>
  </si>
  <si>
    <t>Accounts</t>
  </si>
  <si>
    <t>&amp; General</t>
  </si>
  <si>
    <t xml:space="preserve">                 -------------------</t>
  </si>
  <si>
    <t xml:space="preserve"> ----------------</t>
  </si>
  <si>
    <t>Storage Tanks</t>
  </si>
  <si>
    <t>Water Production Factor</t>
  </si>
  <si>
    <t>WPF</t>
  </si>
  <si>
    <t>Table A</t>
  </si>
  <si>
    <t>SUMMARY OF OPERATING EXPENSES BY CATEGORY</t>
  </si>
  <si>
    <t>ALLOCATION OF DEPRECIATION EXPENSE</t>
  </si>
  <si>
    <t>Allocation Factors</t>
  </si>
  <si>
    <t>Type</t>
  </si>
  <si>
    <t>Joint Share of Line Loss</t>
  </si>
  <si>
    <t>Account ID</t>
  </si>
  <si>
    <t>Account Description</t>
  </si>
  <si>
    <t>Amount</t>
  </si>
  <si>
    <t>Grand Total</t>
  </si>
  <si>
    <t>Administrative</t>
  </si>
  <si>
    <t>Ratio of Joint Use pipes to all pipes in the system. (In-miles are used instead of miles to recognize additional first cost and maintenance for larger mains.)</t>
  </si>
  <si>
    <t>Allocation of line loss to Joint Use mains.</t>
  </si>
  <si>
    <t>Total percentage allocation of non-revenue water to Joint Use.</t>
  </si>
  <si>
    <t>Water produced for wholesale customers divided by total water produced.  (Percentage of all water produced that is for wholesale water sales.)</t>
  </si>
  <si>
    <t>Portion of Joint Use pipes allocated to wholesale customers.</t>
  </si>
  <si>
    <t>Allocation for tank expenses and sometimes other costs where water losses and transmission system issues don't apply.</t>
  </si>
  <si>
    <t>Category</t>
  </si>
  <si>
    <t>Adjustments</t>
  </si>
  <si>
    <t>Adjusted</t>
  </si>
  <si>
    <t>Chemicals</t>
  </si>
  <si>
    <t>Transportation</t>
  </si>
  <si>
    <t>Purchased Water</t>
  </si>
  <si>
    <t>Contractual Services</t>
  </si>
  <si>
    <t>Check Total</t>
  </si>
  <si>
    <t>Trial Balance</t>
  </si>
  <si>
    <t>Allocation of Labor Wages</t>
  </si>
  <si>
    <t>Check</t>
  </si>
  <si>
    <t>Computed Wholesale Rate per 1,000 Gallons</t>
  </si>
  <si>
    <t>Current Wholesale Rate</t>
  </si>
  <si>
    <t>Increase</t>
  </si>
  <si>
    <t>Factor to determine quantity that must be produced to service all sales. (For each gal sold, 1.3400 gals must be produced)</t>
  </si>
  <si>
    <t>feet</t>
  </si>
  <si>
    <t>Factor to determine quantity that must be produced to service wholesale sales.  For each gal sold to wholesale customers, 1.1799 gals must be produced.</t>
  </si>
  <si>
    <t>Allocation Percentages Based on All Labor</t>
  </si>
  <si>
    <t>Allocation Percentages Excluding Water Treatment</t>
  </si>
  <si>
    <t>Operating Expenses from Audited Trial Balance</t>
  </si>
  <si>
    <t>Depreciation</t>
  </si>
  <si>
    <t>2"</t>
  </si>
  <si>
    <t>3"</t>
  </si>
  <si>
    <t>Schedule of All Mains</t>
  </si>
  <si>
    <t>City of Falmouth, Kentucky</t>
  </si>
  <si>
    <t>20-310-910</t>
  </si>
  <si>
    <t>SALARIES</t>
  </si>
  <si>
    <t>20-310-911</t>
  </si>
  <si>
    <t>OVERTIME SALARIES</t>
  </si>
  <si>
    <t>20-310-915</t>
  </si>
  <si>
    <t>EMPLOYEE RETIREMENT</t>
  </si>
  <si>
    <t>20-310-920</t>
  </si>
  <si>
    <t>HEALTH/MEDICAL INS</t>
  </si>
  <si>
    <t>20-310-925</t>
  </si>
  <si>
    <t>FICA TAXES</t>
  </si>
  <si>
    <t>20-310-930</t>
  </si>
  <si>
    <t>WORKERS COMP</t>
  </si>
  <si>
    <t>20-310-935</t>
  </si>
  <si>
    <t>UNEMPLOYMENT</t>
  </si>
  <si>
    <t>20-310-937</t>
  </si>
  <si>
    <t>CHEMICALS</t>
  </si>
  <si>
    <t>20-310-938</t>
  </si>
  <si>
    <t>CONSULTING &amp; ANALYSIS</t>
  </si>
  <si>
    <t>20-310-942</t>
  </si>
  <si>
    <t>TRUCK LEASE PAYMENT</t>
  </si>
  <si>
    <t>20-310-945</t>
  </si>
  <si>
    <t>PRINTING LEASE SOFTWARE</t>
  </si>
  <si>
    <t>20-310-955</t>
  </si>
  <si>
    <t>AUDIT &amp; ACCOUNTING</t>
  </si>
  <si>
    <t>20-310-960</t>
  </si>
  <si>
    <t>GENERAL INS</t>
  </si>
  <si>
    <t>20-310-961</t>
  </si>
  <si>
    <t>FLOOD INSURANCE</t>
  </si>
  <si>
    <t>20-310-965</t>
  </si>
  <si>
    <t>REPAIR &amp; MAINTENANCE</t>
  </si>
  <si>
    <t>20-310-971</t>
  </si>
  <si>
    <t>SCHOOL/TRAINING/LICENSES</t>
  </si>
  <si>
    <t>20-310-972</t>
  </si>
  <si>
    <t>POSTAGE</t>
  </si>
  <si>
    <t>20-310-980</t>
  </si>
  <si>
    <t>TELEPHONE</t>
  </si>
  <si>
    <t>20-310-982</t>
  </si>
  <si>
    <t>SAFETY</t>
  </si>
  <si>
    <t>20-310-985</t>
  </si>
  <si>
    <t>SUPPLIES</t>
  </si>
  <si>
    <t>20-310-986</t>
  </si>
  <si>
    <t>UNIFORMS/ACCESSORIES</t>
  </si>
  <si>
    <t>20-310-987</t>
  </si>
  <si>
    <t>GASOLINE</t>
  </si>
  <si>
    <t>20-310-990</t>
  </si>
  <si>
    <t>DUES/SUBSCRIPTIONS</t>
  </si>
  <si>
    <t>20-310-995</t>
  </si>
  <si>
    <t>MISCELLANEOUS OTHER</t>
  </si>
  <si>
    <t>20-310-997</t>
  </si>
  <si>
    <t>CAPITAL OUTLAY</t>
  </si>
  <si>
    <t>20-311-910</t>
  </si>
  <si>
    <t>20-311-911</t>
  </si>
  <si>
    <t>20-311-915</t>
  </si>
  <si>
    <t>20-311-920</t>
  </si>
  <si>
    <t>20-311-925</t>
  </si>
  <si>
    <t>20-311-930</t>
  </si>
  <si>
    <t>20-311-935</t>
  </si>
  <si>
    <t>20-311-942</t>
  </si>
  <si>
    <t>TRUCK LEASE</t>
  </si>
  <si>
    <t>20-311-945</t>
  </si>
  <si>
    <t>20-311-955</t>
  </si>
  <si>
    <t>20-311-960</t>
  </si>
  <si>
    <t>20-311-965</t>
  </si>
  <si>
    <t>20-311-972</t>
  </si>
  <si>
    <t>20-311-985</t>
  </si>
  <si>
    <t>20-311-986</t>
  </si>
  <si>
    <t>20-311-987</t>
  </si>
  <si>
    <t>20-311-990</t>
  </si>
  <si>
    <t>20-311-995</t>
  </si>
  <si>
    <t>20-311-997</t>
  </si>
  <si>
    <t>92-310-850</t>
  </si>
  <si>
    <t>WATER PRO RESERVE CHECKBK-EXP</t>
  </si>
  <si>
    <t>92-311-850</t>
  </si>
  <si>
    <t>WATER DIS RESERVE CHECKBK-EXP</t>
  </si>
  <si>
    <t>29-200-900</t>
  </si>
  <si>
    <t>CWP EXPENSE</t>
  </si>
  <si>
    <t>DEPRECIATION WATER</t>
  </si>
  <si>
    <t>Hinton, Richard</t>
  </si>
  <si>
    <t>Knight, James</t>
  </si>
  <si>
    <t>Mitchell, Melvin D</t>
  </si>
  <si>
    <t>Shrout, Arlene</t>
  </si>
  <si>
    <t>Syck, Jason</t>
  </si>
  <si>
    <t>Grayson, Faron</t>
  </si>
  <si>
    <t>Engle, James T</t>
  </si>
  <si>
    <t>Hazelriff, Allison L</t>
  </si>
  <si>
    <t>Employee Benefits &amp; Taxes</t>
  </si>
  <si>
    <t>Truck Expense</t>
  </si>
  <si>
    <t>Maintenance</t>
  </si>
  <si>
    <t>Purification</t>
  </si>
  <si>
    <t>DistributionO&amp;M</t>
  </si>
  <si>
    <t>East PCD</t>
  </si>
  <si>
    <t>PCD</t>
  </si>
  <si>
    <t>Total Wholesale</t>
  </si>
  <si>
    <t>Feet</t>
  </si>
  <si>
    <t>City of Falmouth</t>
  </si>
  <si>
    <t>Description</t>
  </si>
  <si>
    <t>Life</t>
  </si>
  <si>
    <t>1974 OAK HAVEN WATER LINE</t>
  </si>
  <si>
    <t>1983 CHLORINATOR</t>
  </si>
  <si>
    <t>1988 EQUIPMENT</t>
  </si>
  <si>
    <t>May-88 WATERLINE INSTALL</t>
  </si>
  <si>
    <t>1987 NEW WATER PLANT CONST.</t>
  </si>
  <si>
    <t>Apr-93 WATER PLANT RENOVATION</t>
  </si>
  <si>
    <t>Sep-96 CHLORINATION BOOSTER</t>
  </si>
  <si>
    <t>Jun-97 Replacement Equip-Water Plant</t>
  </si>
  <si>
    <t>Sep-97 Heritage Ent-fix water plant</t>
  </si>
  <si>
    <t>Aug-97 Water Tower/Central Coating</t>
  </si>
  <si>
    <t>Jun-98 Waterfill station</t>
  </si>
  <si>
    <t>Oct-01 Waterfill station</t>
  </si>
  <si>
    <t>Nov-01 per 250-1, need info</t>
  </si>
  <si>
    <t>Jun-06 20 20 Grant improvements</t>
  </si>
  <si>
    <t>Jun-06 Carbon Feeder Project</t>
  </si>
  <si>
    <t>Jun-06 Chlorine line Project</t>
  </si>
  <si>
    <t>Water meters</t>
  </si>
  <si>
    <t>Jul 2015-Service Unit for Care Unit</t>
  </si>
  <si>
    <t>Pump</t>
  </si>
  <si>
    <t>Mower</t>
  </si>
  <si>
    <t>Flowmeter</t>
  </si>
  <si>
    <t>River Pump</t>
  </si>
  <si>
    <t>UPIS</t>
  </si>
  <si>
    <t>Dep Exp</t>
  </si>
  <si>
    <t>Bentley</t>
  </si>
  <si>
    <t>Acari</t>
  </si>
  <si>
    <t>Fudor</t>
  </si>
  <si>
    <t>Hughes</t>
  </si>
  <si>
    <t>Hutchinson</t>
  </si>
  <si>
    <t>McLanahan</t>
  </si>
  <si>
    <t>Webster</t>
  </si>
  <si>
    <t>Williams</t>
  </si>
  <si>
    <t>Robbins</t>
  </si>
  <si>
    <t>Perkins</t>
  </si>
  <si>
    <t>Nunnelley</t>
  </si>
  <si>
    <t>Contract</t>
  </si>
  <si>
    <t>Isaac</t>
  </si>
  <si>
    <t>Frank</t>
  </si>
  <si>
    <t>Juanita</t>
  </si>
  <si>
    <t>Dawn</t>
  </si>
  <si>
    <t>Christian</t>
  </si>
  <si>
    <t>Steve</t>
  </si>
  <si>
    <t>John</t>
  </si>
  <si>
    <t>Joseph</t>
  </si>
  <si>
    <t>Russell</t>
  </si>
  <si>
    <t>Levi</t>
  </si>
  <si>
    <t>Prestgon</t>
  </si>
  <si>
    <t>Treasurer</t>
  </si>
  <si>
    <t>Employee</t>
  </si>
  <si>
    <t>Total Pay</t>
  </si>
  <si>
    <t>Water %</t>
  </si>
  <si>
    <t>Water $</t>
  </si>
  <si>
    <t>Position</t>
  </si>
  <si>
    <t>Current Salaries</t>
  </si>
  <si>
    <t>Les:  Test Period</t>
  </si>
  <si>
    <t>Retirement - CERS:</t>
  </si>
  <si>
    <t>UEMPLOYMENT</t>
  </si>
  <si>
    <t>WORKERS COMPENSATION</t>
  </si>
  <si>
    <t>UNIFORMS AND ACCESSORIES</t>
  </si>
  <si>
    <t>Truck/Transportation</t>
  </si>
  <si>
    <t>Total Salaries</t>
  </si>
  <si>
    <t>Total Overtime</t>
  </si>
  <si>
    <t>Total Emp Retirement</t>
  </si>
  <si>
    <t>Total Health/Med Ins</t>
  </si>
  <si>
    <t>Total FICA</t>
  </si>
  <si>
    <t>Total Workers Comp</t>
  </si>
  <si>
    <t>Total Unemployment</t>
  </si>
  <si>
    <t>July 1, 2024 through June 30, 2025</t>
  </si>
  <si>
    <t>Truck Expense - Allocated</t>
  </si>
  <si>
    <t xml:space="preserve">Salaries </t>
  </si>
  <si>
    <t>Chemicals:</t>
  </si>
  <si>
    <t>Depreciation:</t>
  </si>
  <si>
    <t>Employee Benefits &amp; Taxes:</t>
  </si>
  <si>
    <t>Total Employee Benefits &amp; Taxes</t>
  </si>
  <si>
    <t>General Expenses:</t>
  </si>
  <si>
    <t>Total General Expenses</t>
  </si>
  <si>
    <t>Insurance:</t>
  </si>
  <si>
    <t>Total Insurance</t>
  </si>
  <si>
    <t>Labatory:</t>
  </si>
  <si>
    <t>Maintenance:</t>
  </si>
  <si>
    <t xml:space="preserve">Retail Sales </t>
  </si>
  <si>
    <t xml:space="preserve">Wholesale </t>
  </si>
  <si>
    <t>Original</t>
  </si>
  <si>
    <t>Wholesale - 9/2024</t>
  </si>
  <si>
    <t>Check Col.</t>
  </si>
  <si>
    <t>Electricty</t>
  </si>
  <si>
    <t xml:space="preserve">July 2024-June 2025   </t>
  </si>
  <si>
    <t xml:space="preserve">Water Treatment Plant </t>
  </si>
  <si>
    <t xml:space="preserve">Booster Pump Station </t>
  </si>
  <si>
    <t xml:space="preserve"> Kilo Usage</t>
  </si>
  <si>
    <t xml:space="preserve">Cost </t>
  </si>
  <si>
    <t xml:space="preserve">Kilo Usage </t>
  </si>
  <si>
    <t xml:space="preserve">July </t>
  </si>
  <si>
    <t>August</t>
  </si>
  <si>
    <t>September</t>
  </si>
  <si>
    <t>October</t>
  </si>
  <si>
    <t>November</t>
  </si>
  <si>
    <t>December</t>
  </si>
  <si>
    <t xml:space="preserve">Total </t>
  </si>
  <si>
    <t xml:space="preserve">January </t>
  </si>
  <si>
    <t>February</t>
  </si>
  <si>
    <t>March</t>
  </si>
  <si>
    <t xml:space="preserve">April </t>
  </si>
  <si>
    <t xml:space="preserve">May </t>
  </si>
  <si>
    <t>June</t>
  </si>
  <si>
    <t>1st Half-</t>
  </si>
  <si>
    <t>2ndHalf</t>
  </si>
  <si>
    <t>Electricity</t>
  </si>
  <si>
    <t>Water Sales Retail</t>
  </si>
  <si>
    <t>Wholesale Water Sales</t>
  </si>
  <si>
    <t>Water Used - Treatment Plant</t>
  </si>
  <si>
    <t>Flushing</t>
  </si>
  <si>
    <t>Water Loss</t>
  </si>
  <si>
    <t>Revised</t>
  </si>
  <si>
    <t>This shows that Falmouth has sold Used more water than was produced.</t>
  </si>
  <si>
    <t>PCCWD</t>
  </si>
  <si>
    <t>EPCWD</t>
  </si>
  <si>
    <t>Salaries &amp; Wages - Water Division</t>
  </si>
  <si>
    <t>Multiplied by:  CeRS Employer Contribution Factor</t>
  </si>
  <si>
    <t>Pro Forma Retirement</t>
  </si>
  <si>
    <t>Less: Actual Retirement</t>
  </si>
  <si>
    <t>Adjustment</t>
  </si>
  <si>
    <t>Multiplied by: FICA Rate</t>
  </si>
  <si>
    <t>FICA Tax:</t>
  </si>
  <si>
    <t>Pro Forma FICA</t>
  </si>
  <si>
    <t>Less:  Actual FICA</t>
  </si>
  <si>
    <t>Joint Use Mains</t>
  </si>
  <si>
    <t>Totlal</t>
  </si>
  <si>
    <t>Check Calculations</t>
  </si>
  <si>
    <t>Table C</t>
  </si>
  <si>
    <t>Table D</t>
  </si>
  <si>
    <t>Electric</t>
  </si>
  <si>
    <t>Sewer</t>
  </si>
  <si>
    <t>Ref</t>
  </si>
  <si>
    <t>A</t>
  </si>
  <si>
    <t>B</t>
  </si>
  <si>
    <t>C</t>
  </si>
  <si>
    <t>References</t>
  </si>
  <si>
    <t>A.</t>
  </si>
  <si>
    <t>B.</t>
  </si>
  <si>
    <t>To reflect the current employee wages</t>
  </si>
  <si>
    <t>C.</t>
  </si>
  <si>
    <t>Water improvement project (Tank Refurbish)</t>
  </si>
  <si>
    <t>Operating Ratio</t>
  </si>
  <si>
    <t>Total Operating expenses divided by 0.88 operating ratio</t>
  </si>
  <si>
    <t>Tanks</t>
  </si>
  <si>
    <t>Water Tanks</t>
  </si>
  <si>
    <t>Net Operating Income</t>
  </si>
  <si>
    <t>Total Operation &amp; Maint. Exp.</t>
  </si>
  <si>
    <t>To include depreciation expense that was not reported in the Trial Balance.</t>
  </si>
  <si>
    <t>Combining Employee related cost accounts to facilitate wage increase adjustments.</t>
  </si>
  <si>
    <t>Reported</t>
  </si>
  <si>
    <t>East Pendleton County</t>
  </si>
  <si>
    <t>Total Wholesale Customer</t>
  </si>
  <si>
    <t>Less:  Alloable Line Loss</t>
  </si>
  <si>
    <t>Excess Line Loss Over 15%</t>
  </si>
  <si>
    <t>Joint Use (PCWD)</t>
  </si>
  <si>
    <t>D</t>
  </si>
  <si>
    <t>E</t>
  </si>
  <si>
    <t>E.</t>
  </si>
  <si>
    <t>Remove Cost of Excess Water Loss</t>
  </si>
  <si>
    <t>Test-Period Amount</t>
  </si>
  <si>
    <t>Multiplired by:  Excess Line Loss</t>
  </si>
  <si>
    <t>Pendleton County</t>
  </si>
  <si>
    <t>\</t>
  </si>
  <si>
    <t>Joint Use Inch-miles (PCWD)</t>
  </si>
  <si>
    <t>Water Sold - Wholesale (PCWD)</t>
  </si>
  <si>
    <t>Less:  Total Water Sold</t>
  </si>
  <si>
    <t>Less:  Water Used</t>
  </si>
  <si>
    <t>Line Loss $</t>
  </si>
  <si>
    <t>Line Loss %</t>
  </si>
  <si>
    <t>Line Loss In Excess of 15% Limit</t>
  </si>
  <si>
    <t>To include electricty cost that was not reported in the Trial Balance</t>
  </si>
  <si>
    <t>D.</t>
  </si>
  <si>
    <t>Vehicle Leases were payed off outside the test-period.  The payments made in fiscal year 2025 is eliminated.</t>
  </si>
  <si>
    <t>Reported Vehicle Lease Payments</t>
  </si>
  <si>
    <t>F</t>
  </si>
  <si>
    <t>G</t>
  </si>
  <si>
    <t>G.</t>
  </si>
  <si>
    <t>Vehicle</t>
  </si>
  <si>
    <t>Salaries</t>
  </si>
  <si>
    <t>Arcari, Frank</t>
  </si>
  <si>
    <t>Bentley, Isaac</t>
  </si>
  <si>
    <t>Hughes, Dawn</t>
  </si>
  <si>
    <t>Hutchinson, Christian</t>
  </si>
  <si>
    <t>McClanahan. Steve</t>
  </si>
  <si>
    <t>Nunnelley, Preston</t>
  </si>
  <si>
    <t>Perkins, Levi</t>
  </si>
  <si>
    <t>Webster, John</t>
  </si>
  <si>
    <t>Williams, Joseph</t>
  </si>
  <si>
    <t xml:space="preserve">Ferguson Hydrant  Buddy </t>
  </si>
  <si>
    <t>Line Locator</t>
  </si>
  <si>
    <t>Chlorine CL17</t>
  </si>
  <si>
    <t xml:space="preserve">Electric Panel </t>
  </si>
  <si>
    <t>Lamella Gear Box</t>
  </si>
  <si>
    <t>2020 Ford F2500</t>
  </si>
  <si>
    <t>2023 Dodge Ram</t>
  </si>
  <si>
    <t xml:space="preserve">2023 Chevy Silverado </t>
  </si>
  <si>
    <t>2024 Chevrolet</t>
  </si>
  <si>
    <t>Case Mine Excavator</t>
  </si>
  <si>
    <t>Generator</t>
  </si>
  <si>
    <t>Fiscal Year 25-26</t>
  </si>
  <si>
    <t>25-26 Emp Ins</t>
  </si>
  <si>
    <t>To reflect the current employee Health Insurance Premiums</t>
  </si>
  <si>
    <t>F.</t>
  </si>
  <si>
    <t>Employee 1</t>
  </si>
  <si>
    <t>Employee 2</t>
  </si>
  <si>
    <t>Employee 3</t>
  </si>
  <si>
    <t>Employee 4</t>
  </si>
  <si>
    <t>Employee 5</t>
  </si>
  <si>
    <t>Employee 6</t>
  </si>
  <si>
    <t>Employee 7</t>
  </si>
  <si>
    <t>Employee 8</t>
  </si>
  <si>
    <t>Employee 9</t>
  </si>
  <si>
    <t>Employee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</si>
</sst>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#,##0.0"/>
    <numFmt numFmtId="167" formatCode="0.0%"/>
    <numFmt numFmtId="168" formatCode="#,##0.0000"/>
    <numFmt numFmtId="169" formatCode="0.0000"/>
    <numFmt numFmtId="170" formatCode="_(* #,##0.0000_);_(* \(#,##0.0000\);_(* &quot;-&quot;??_);_(@_)"/>
    <numFmt numFmtId="171" formatCode="0.000%"/>
    <numFmt numFmtId="172" formatCode="#,##0.00;[Red]\(#,##0.00\)"/>
    <numFmt numFmtId="173" formatCode="#,##0.000_);\(#,##0.000\)"/>
    <numFmt numFmtId="174" formatCode="mm/dd/yy;@"/>
    <numFmt numFmtId="175" formatCode="#,##0.000"/>
    <numFmt numFmtId="176" formatCode="[$-409]mmmm\-yy;@"/>
    <numFmt numFmtId="177" formatCode="#,##0.0_);\(#,##0.0\)"/>
  </numFmts>
  <fonts count="45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b/>
      <sz val="14"/>
      <color theme="1"/>
      <name val="Calibri"/>
      <family val="2"/>
    </font>
    <font>
      <b/>
      <u/>
      <sz val="14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Arial"/>
      <family val="2"/>
    </font>
    <font>
      <sz val="11"/>
      <color rgb="FF9C0006"/>
      <name val="Arial"/>
      <family val="2"/>
    </font>
    <font>
      <b/>
      <sz val="12"/>
      <color rgb="FF000000"/>
      <name val="Arial"/>
      <family val="2"/>
    </font>
    <font>
      <sz val="20"/>
      <name val="Arial"/>
      <family val="2"/>
    </font>
    <font>
      <b/>
      <u/>
      <sz val="11"/>
      <name val="Calibri"/>
      <family val="2"/>
    </font>
    <font>
      <b/>
      <u/>
      <sz val="11"/>
      <name val="Calibri"/>
      <family val="2"/>
      <scheme val="minor"/>
    </font>
    <font>
      <sz val="12"/>
      <color rgb="FF3A3A3A"/>
      <name val="Arial"/>
      <family val="2"/>
    </font>
    <font>
      <sz val="12"/>
      <color rgb="FF000000"/>
      <name val="Arial"/>
      <family val="2"/>
    </font>
    <font>
      <u/>
      <sz val="12"/>
      <color theme="1"/>
      <name val="Calibri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7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auto="1"/>
      </top>
      <bottom/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34" fillId="3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2">
    <xf numFmtId="0" fontId="0" fillId="0" borderId="0" xfId="0"/>
    <xf numFmtId="165" fontId="9" fillId="0" borderId="0" xfId="1" applyNumberFormat="1" applyFont="1"/>
    <xf numFmtId="167" fontId="9" fillId="0" borderId="0" xfId="3" applyNumberFormat="1" applyFont="1"/>
    <xf numFmtId="165" fontId="9" fillId="0" borderId="9" xfId="1" applyNumberFormat="1" applyFont="1" applyBorder="1"/>
    <xf numFmtId="165" fontId="9" fillId="0" borderId="0" xfId="1" applyNumberFormat="1" applyFont="1" applyBorder="1"/>
    <xf numFmtId="165" fontId="9" fillId="0" borderId="11" xfId="1" applyNumberFormat="1" applyFont="1" applyBorder="1"/>
    <xf numFmtId="165" fontId="8" fillId="0" borderId="0" xfId="1" applyNumberFormat="1" applyFont="1" applyBorder="1" applyAlignment="1">
      <alignment horizontal="right"/>
    </xf>
    <xf numFmtId="165" fontId="9" fillId="0" borderId="5" xfId="1" applyNumberFormat="1" applyFont="1" applyBorder="1"/>
    <xf numFmtId="165" fontId="8" fillId="0" borderId="0" xfId="1" applyNumberFormat="1" applyFont="1" applyBorder="1"/>
    <xf numFmtId="165" fontId="9" fillId="0" borderId="10" xfId="1" applyNumberFormat="1" applyFont="1" applyBorder="1"/>
    <xf numFmtId="165" fontId="9" fillId="0" borderId="3" xfId="1" applyNumberFormat="1" applyFont="1" applyBorder="1"/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11" fillId="0" borderId="0" xfId="0" applyFont="1" applyAlignment="1">
      <alignment horizontal="left" vertical="top"/>
    </xf>
    <xf numFmtId="165" fontId="9" fillId="0" borderId="3" xfId="1" applyNumberFormat="1" applyFont="1" applyBorder="1" applyAlignment="1"/>
    <xf numFmtId="0" fontId="11" fillId="0" borderId="0" xfId="0" applyFont="1" applyAlignment="1">
      <alignment horizontal="left"/>
    </xf>
    <xf numFmtId="165" fontId="8" fillId="0" borderId="5" xfId="1" applyNumberFormat="1" applyFont="1" applyBorder="1"/>
    <xf numFmtId="0" fontId="12" fillId="0" borderId="0" xfId="0" applyFont="1" applyAlignment="1">
      <alignment horizontal="left" vertical="top"/>
    </xf>
    <xf numFmtId="165" fontId="8" fillId="0" borderId="9" xfId="1" applyNumberFormat="1" applyFont="1" applyBorder="1"/>
    <xf numFmtId="165" fontId="8" fillId="0" borderId="0" xfId="1" applyNumberFormat="1" applyFont="1"/>
    <xf numFmtId="167" fontId="8" fillId="0" borderId="0" xfId="3" applyNumberFormat="1" applyFont="1"/>
    <xf numFmtId="165" fontId="9" fillId="0" borderId="0" xfId="1" applyNumberFormat="1" applyFont="1" applyBorder="1" applyAlignment="1">
      <alignment horizontal="right"/>
    </xf>
    <xf numFmtId="167" fontId="9" fillId="0" borderId="0" xfId="3" applyNumberFormat="1" applyFont="1" applyBorder="1"/>
    <xf numFmtId="0" fontId="11" fillId="0" borderId="3" xfId="0" applyFont="1" applyBorder="1" applyAlignment="1">
      <alignment horizontal="left" vertical="top" wrapText="1"/>
    </xf>
    <xf numFmtId="164" fontId="5" fillId="0" borderId="0" xfId="2" applyNumberFormat="1" applyFont="1" applyFill="1" applyBorder="1" applyAlignment="1"/>
    <xf numFmtId="165" fontId="5" fillId="0" borderId="0" xfId="1" applyNumberFormat="1" applyFont="1" applyFill="1" applyBorder="1" applyAlignment="1"/>
    <xf numFmtId="165" fontId="16" fillId="0" borderId="0" xfId="1" applyNumberFormat="1" applyFont="1" applyFill="1"/>
    <xf numFmtId="43" fontId="16" fillId="0" borderId="0" xfId="1" applyFont="1" applyFill="1"/>
    <xf numFmtId="165" fontId="16" fillId="0" borderId="0" xfId="1" applyNumberFormat="1" applyFont="1" applyFill="1" applyBorder="1" applyAlignment="1"/>
    <xf numFmtId="43" fontId="16" fillId="0" borderId="0" xfId="1" applyFont="1" applyFill="1" applyBorder="1" applyAlignment="1"/>
    <xf numFmtId="43" fontId="16" fillId="0" borderId="0" xfId="1" applyFont="1" applyFill="1" applyBorder="1"/>
    <xf numFmtId="0" fontId="7" fillId="0" borderId="0" xfId="0" applyFont="1"/>
    <xf numFmtId="165" fontId="11" fillId="0" borderId="0" xfId="1" applyNumberFormat="1" applyFont="1" applyBorder="1" applyAlignment="1">
      <alignment horizontal="right" vertical="top" shrinkToFit="1"/>
    </xf>
    <xf numFmtId="165" fontId="12" fillId="0" borderId="0" xfId="1" applyNumberFormat="1" applyFont="1" applyBorder="1" applyAlignment="1">
      <alignment horizontal="right" vertical="top" shrinkToFit="1"/>
    </xf>
    <xf numFmtId="165" fontId="8" fillId="0" borderId="0" xfId="1" applyNumberFormat="1" applyFont="1" applyFill="1" applyBorder="1"/>
    <xf numFmtId="0" fontId="11" fillId="0" borderId="3" xfId="0" applyFont="1" applyBorder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9" fillId="0" borderId="3" xfId="1" applyNumberFormat="1" applyFont="1" applyFill="1" applyBorder="1"/>
    <xf numFmtId="165" fontId="9" fillId="0" borderId="0" xfId="1" applyNumberFormat="1" applyFont="1" applyFill="1"/>
    <xf numFmtId="0" fontId="7" fillId="0" borderId="0" xfId="0" quotePrefix="1" applyFont="1" applyAlignment="1">
      <alignment horizontal="center"/>
    </xf>
    <xf numFmtId="0" fontId="7" fillId="0" borderId="0" xfId="0" quotePrefix="1" applyFont="1"/>
    <xf numFmtId="172" fontId="7" fillId="0" borderId="0" xfId="0" applyNumberFormat="1" applyFont="1"/>
    <xf numFmtId="0" fontId="7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39" fontId="0" fillId="0" borderId="0" xfId="0" applyNumberFormat="1"/>
    <xf numFmtId="9" fontId="0" fillId="0" borderId="0" xfId="0" applyNumberFormat="1" applyAlignment="1">
      <alignment horizontal="center"/>
    </xf>
    <xf numFmtId="39" fontId="7" fillId="0" borderId="0" xfId="0" applyNumberFormat="1" applyFont="1"/>
    <xf numFmtId="9" fontId="7" fillId="0" borderId="0" xfId="0" applyNumberFormat="1" applyFont="1" applyAlignment="1">
      <alignment horizontal="center"/>
    </xf>
    <xf numFmtId="9" fontId="7" fillId="0" borderId="3" xfId="0" applyNumberFormat="1" applyFont="1" applyBorder="1" applyAlignment="1">
      <alignment horizontal="center"/>
    </xf>
    <xf numFmtId="39" fontId="7" fillId="0" borderId="3" xfId="0" applyNumberFormat="1" applyFont="1" applyBorder="1" applyAlignment="1">
      <alignment horizontal="center"/>
    </xf>
    <xf numFmtId="39" fontId="0" fillId="0" borderId="14" xfId="0" applyNumberFormat="1" applyBorder="1"/>
    <xf numFmtId="10" fontId="0" fillId="0" borderId="0" xfId="3" applyNumberFormat="1" applyFont="1"/>
    <xf numFmtId="39" fontId="7" fillId="0" borderId="3" xfId="1" applyNumberFormat="1" applyFont="1" applyFill="1" applyBorder="1" applyAlignment="1">
      <alignment horizontal="center"/>
    </xf>
    <xf numFmtId="39" fontId="7" fillId="0" borderId="0" xfId="0" applyNumberFormat="1" applyFont="1" applyAlignment="1">
      <alignment horizontal="center"/>
    </xf>
    <xf numFmtId="39" fontId="0" fillId="0" borderId="3" xfId="0" applyNumberFormat="1" applyBorder="1"/>
    <xf numFmtId="10" fontId="9" fillId="0" borderId="0" xfId="3" applyNumberFormat="1" applyFont="1"/>
    <xf numFmtId="171" fontId="9" fillId="0" borderId="0" xfId="3" applyNumberFormat="1" applyFont="1"/>
    <xf numFmtId="165" fontId="8" fillId="0" borderId="0" xfId="1" applyNumberFormat="1" applyFont="1" applyBorder="1" applyAlignment="1"/>
    <xf numFmtId="0" fontId="11" fillId="0" borderId="3" xfId="0" applyFont="1" applyBorder="1" applyAlignment="1">
      <alignment horizontal="left" vertical="top"/>
    </xf>
    <xf numFmtId="165" fontId="9" fillId="0" borderId="0" xfId="1" applyNumberFormat="1" applyFont="1" applyAlignment="1"/>
    <xf numFmtId="37" fontId="9" fillId="0" borderId="0" xfId="3" applyNumberFormat="1" applyFont="1"/>
    <xf numFmtId="0" fontId="35" fillId="0" borderId="0" xfId="0" applyFont="1"/>
    <xf numFmtId="0" fontId="36" fillId="3" borderId="0" xfId="6" applyFont="1"/>
    <xf numFmtId="44" fontId="35" fillId="0" borderId="0" xfId="2" applyFont="1"/>
    <xf numFmtId="44" fontId="7" fillId="0" borderId="0" xfId="2" applyFont="1"/>
    <xf numFmtId="44" fontId="7" fillId="0" borderId="0" xfId="0" applyNumberFormat="1" applyFont="1"/>
    <xf numFmtId="171" fontId="7" fillId="0" borderId="0" xfId="3" applyNumberFormat="1" applyFont="1"/>
    <xf numFmtId="10" fontId="0" fillId="0" borderId="3" xfId="3" applyNumberFormat="1" applyFont="1" applyBorder="1"/>
    <xf numFmtId="10" fontId="0" fillId="0" borderId="15" xfId="3" applyNumberFormat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43" fontId="7" fillId="0" borderId="0" xfId="0" applyNumberFormat="1" applyFont="1"/>
    <xf numFmtId="43" fontId="7" fillId="0" borderId="0" xfId="1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vertical="center" wrapText="1"/>
    </xf>
    <xf numFmtId="43" fontId="7" fillId="0" borderId="0" xfId="1" applyFont="1" applyFill="1" applyBorder="1" applyAlignment="1">
      <alignment vertical="top" wrapText="1"/>
    </xf>
    <xf numFmtId="43" fontId="6" fillId="0" borderId="0" xfId="1" applyFont="1" applyFill="1" applyBorder="1" applyAlignment="1">
      <alignment vertical="center" wrapText="1"/>
    </xf>
    <xf numFmtId="39" fontId="15" fillId="0" borderId="0" xfId="0" applyNumberFormat="1" applyFont="1"/>
    <xf numFmtId="0" fontId="6" fillId="0" borderId="0" xfId="0" applyFont="1" applyAlignment="1">
      <alignment horizontal="left" vertical="top"/>
    </xf>
    <xf numFmtId="0" fontId="7" fillId="0" borderId="17" xfId="0" applyFont="1" applyBorder="1"/>
    <xf numFmtId="0" fontId="7" fillId="0" borderId="5" xfId="0" applyFont="1" applyBorder="1"/>
    <xf numFmtId="171" fontId="7" fillId="0" borderId="0" xfId="3" applyNumberFormat="1" applyFont="1" applyFill="1" applyBorder="1"/>
    <xf numFmtId="0" fontId="7" fillId="0" borderId="10" xfId="0" applyFont="1" applyBorder="1"/>
    <xf numFmtId="0" fontId="7" fillId="0" borderId="3" xfId="0" applyFont="1" applyBorder="1" applyAlignment="1">
      <alignment horizontal="left"/>
    </xf>
    <xf numFmtId="0" fontId="7" fillId="0" borderId="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3" xfId="0" applyBorder="1"/>
    <xf numFmtId="0" fontId="0" fillId="0" borderId="11" xfId="0" applyBorder="1"/>
    <xf numFmtId="0" fontId="12" fillId="0" borderId="0" xfId="0" applyFont="1"/>
    <xf numFmtId="165" fontId="12" fillId="0" borderId="20" xfId="1" applyNumberFormat="1" applyFont="1" applyBorder="1" applyAlignment="1">
      <alignment horizontal="right" vertical="top" shrinkToFit="1"/>
    </xf>
    <xf numFmtId="165" fontId="40" fillId="0" borderId="0" xfId="1" applyNumberFormat="1" applyFont="1" applyBorder="1" applyAlignment="1">
      <alignment horizontal="right"/>
    </xf>
    <xf numFmtId="165" fontId="9" fillId="0" borderId="17" xfId="1" applyNumberFormat="1" applyFont="1" applyBorder="1"/>
    <xf numFmtId="165" fontId="9" fillId="0" borderId="18" xfId="1" applyNumberFormat="1" applyFont="1" applyBorder="1" applyAlignment="1"/>
    <xf numFmtId="165" fontId="9" fillId="0" borderId="18" xfId="1" applyNumberFormat="1" applyFont="1" applyFill="1" applyBorder="1"/>
    <xf numFmtId="165" fontId="9" fillId="0" borderId="18" xfId="1" applyNumberFormat="1" applyFont="1" applyBorder="1"/>
    <xf numFmtId="165" fontId="9" fillId="0" borderId="19" xfId="1" applyNumberFormat="1" applyFont="1" applyBorder="1"/>
    <xf numFmtId="0" fontId="12" fillId="0" borderId="0" xfId="0" applyFont="1" applyAlignment="1">
      <alignment horizontal="right"/>
    </xf>
    <xf numFmtId="0" fontId="39" fillId="0" borderId="0" xfId="0" applyFont="1"/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11" fillId="0" borderId="0" xfId="0" applyNumberFormat="1" applyFont="1" applyAlignment="1">
      <alignment horizontal="left" vertical="top"/>
    </xf>
    <xf numFmtId="0" fontId="11" fillId="0" borderId="0" xfId="0" applyFont="1" applyAlignment="1">
      <alignment horizontal="left" indent="1"/>
    </xf>
    <xf numFmtId="165" fontId="11" fillId="0" borderId="16" xfId="1" applyNumberFormat="1" applyFont="1" applyBorder="1" applyAlignment="1">
      <alignment horizontal="right" vertical="top" shrinkToFit="1"/>
    </xf>
    <xf numFmtId="37" fontId="7" fillId="0" borderId="0" xfId="0" applyNumberFormat="1" applyFont="1"/>
    <xf numFmtId="43" fontId="7" fillId="2" borderId="0" xfId="1" applyFont="1" applyFill="1" applyBorder="1" applyAlignment="1">
      <alignment vertical="top" wrapText="1"/>
    </xf>
    <xf numFmtId="0" fontId="0" fillId="0" borderId="21" xfId="0" applyBorder="1"/>
    <xf numFmtId="165" fontId="7" fillId="2" borderId="0" xfId="1" applyNumberFormat="1" applyFont="1" applyFill="1" applyBorder="1" applyAlignment="1">
      <alignment horizontal="center"/>
    </xf>
    <xf numFmtId="165" fontId="9" fillId="0" borderId="21" xfId="1" applyNumberFormat="1" applyFont="1" applyBorder="1"/>
    <xf numFmtId="165" fontId="7" fillId="0" borderId="0" xfId="1" applyNumberFormat="1" applyFont="1" applyBorder="1"/>
    <xf numFmtId="165" fontId="7" fillId="0" borderId="0" xfId="0" applyNumberFormat="1" applyFont="1"/>
    <xf numFmtId="165" fontId="7" fillId="0" borderId="0" xfId="0" applyNumberFormat="1" applyFont="1" applyAlignment="1">
      <alignment horizontal="center"/>
    </xf>
    <xf numFmtId="0" fontId="7" fillId="0" borderId="19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9" xfId="0" applyFont="1" applyBorder="1" applyAlignment="1">
      <alignment horizontal="left"/>
    </xf>
    <xf numFmtId="165" fontId="6" fillId="0" borderId="0" xfId="1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165" fontId="6" fillId="0" borderId="3" xfId="0" applyNumberFormat="1" applyFont="1" applyBorder="1" applyAlignment="1">
      <alignment horizontal="center"/>
    </xf>
    <xf numFmtId="165" fontId="41" fillId="0" borderId="0" xfId="1" applyNumberFormat="1" applyFont="1" applyBorder="1" applyAlignment="1">
      <alignment horizontal="right" vertical="top" shrinkToFit="1"/>
    </xf>
    <xf numFmtId="165" fontId="41" fillId="0" borderId="0" xfId="1" applyNumberFormat="1" applyFont="1" applyBorder="1" applyAlignment="1">
      <alignment horizontal="center" vertical="top" shrinkToFit="1"/>
    </xf>
    <xf numFmtId="165" fontId="42" fillId="0" borderId="0" xfId="1" applyNumberFormat="1" applyFont="1" applyBorder="1"/>
    <xf numFmtId="0" fontId="7" fillId="0" borderId="0" xfId="0" applyFont="1" applyAlignment="1">
      <alignment horizontal="center" vertical="top" wrapText="1"/>
    </xf>
    <xf numFmtId="165" fontId="42" fillId="0" borderId="14" xfId="1" applyNumberFormat="1" applyFont="1" applyBorder="1"/>
    <xf numFmtId="165" fontId="42" fillId="0" borderId="14" xfId="1" applyNumberFormat="1" applyFont="1" applyBorder="1" applyAlignment="1">
      <alignment horizontal="right" vertical="top"/>
    </xf>
    <xf numFmtId="165" fontId="42" fillId="0" borderId="0" xfId="1" applyNumberFormat="1" applyFont="1" applyBorder="1" applyAlignment="1">
      <alignment horizontal="right" vertical="top"/>
    </xf>
    <xf numFmtId="165" fontId="7" fillId="0" borderId="3" xfId="1" applyNumberFormat="1" applyFont="1" applyBorder="1"/>
    <xf numFmtId="165" fontId="7" fillId="0" borderId="3" xfId="0" applyNumberFormat="1" applyFont="1" applyBorder="1"/>
    <xf numFmtId="165" fontId="7" fillId="0" borderId="3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165" fontId="7" fillId="0" borderId="0" xfId="1" applyNumberFormat="1" applyFont="1"/>
    <xf numFmtId="165" fontId="42" fillId="0" borderId="0" xfId="1" applyNumberFormat="1" applyFont="1" applyBorder="1" applyAlignment="1">
      <alignment horizontal="center" vertical="top"/>
    </xf>
    <xf numFmtId="177" fontId="0" fillId="0" borderId="0" xfId="0" applyNumberFormat="1"/>
    <xf numFmtId="177" fontId="7" fillId="0" borderId="3" xfId="0" applyNumberFormat="1" applyFont="1" applyBorder="1" applyAlignment="1">
      <alignment horizontal="center"/>
    </xf>
    <xf numFmtId="177" fontId="0" fillId="0" borderId="3" xfId="0" applyNumberFormat="1" applyBorder="1"/>
    <xf numFmtId="177" fontId="0" fillId="0" borderId="14" xfId="0" applyNumberFormat="1" applyBorder="1"/>
    <xf numFmtId="10" fontId="0" fillId="0" borderId="3" xfId="0" applyNumberFormat="1" applyBorder="1"/>
    <xf numFmtId="165" fontId="42" fillId="0" borderId="20" xfId="1" applyNumberFormat="1" applyFont="1" applyBorder="1"/>
    <xf numFmtId="10" fontId="0" fillId="0" borderId="0" xfId="3" applyNumberFormat="1" applyFont="1" applyBorder="1"/>
    <xf numFmtId="0" fontId="15" fillId="0" borderId="0" xfId="9" applyFont="1"/>
    <xf numFmtId="39" fontId="7" fillId="0" borderId="14" xfId="0" applyNumberFormat="1" applyFont="1" applyBorder="1"/>
    <xf numFmtId="10" fontId="7" fillId="0" borderId="15" xfId="3" applyNumberFormat="1" applyFont="1" applyBorder="1"/>
    <xf numFmtId="0" fontId="15" fillId="0" borderId="0" xfId="9" applyFont="1" applyAlignment="1">
      <alignment horizontal="center"/>
    </xf>
    <xf numFmtId="44" fontId="15" fillId="0" borderId="0" xfId="10" applyFont="1"/>
    <xf numFmtId="9" fontId="15" fillId="0" borderId="0" xfId="11" applyFont="1"/>
    <xf numFmtId="39" fontId="15" fillId="0" borderId="0" xfId="10" applyNumberFormat="1" applyFont="1"/>
    <xf numFmtId="44" fontId="27" fillId="0" borderId="0" xfId="10" applyFont="1"/>
    <xf numFmtId="9" fontId="27" fillId="0" borderId="0" xfId="11" applyFont="1"/>
    <xf numFmtId="9" fontId="15" fillId="0" borderId="0" xfId="10" applyNumberFormat="1" applyFont="1"/>
    <xf numFmtId="0" fontId="0" fillId="0" borderId="26" xfId="0" applyBorder="1"/>
    <xf numFmtId="44" fontId="15" fillId="0" borderId="3" xfId="10" applyFont="1" applyBorder="1" applyAlignment="1">
      <alignment horizontal="center"/>
    </xf>
    <xf numFmtId="165" fontId="42" fillId="0" borderId="3" xfId="1" applyNumberFormat="1" applyFont="1" applyBorder="1"/>
    <xf numFmtId="165" fontId="41" fillId="0" borderId="3" xfId="1" applyNumberFormat="1" applyFont="1" applyBorder="1" applyAlignment="1">
      <alignment horizontal="right" vertical="top" shrinkToFit="1"/>
    </xf>
    <xf numFmtId="0" fontId="37" fillId="0" borderId="0" xfId="0" applyFont="1" applyAlignment="1">
      <alignment horizontal="center"/>
    </xf>
    <xf numFmtId="0" fontId="6" fillId="0" borderId="0" xfId="0" applyFont="1" applyAlignment="1">
      <alignment horizontal="left" indent="9"/>
    </xf>
    <xf numFmtId="0" fontId="6" fillId="0" borderId="0" xfId="0" applyFont="1" applyAlignment="1">
      <alignment horizontal="center" wrapText="1"/>
    </xf>
    <xf numFmtId="37" fontId="6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174" fontId="6" fillId="0" borderId="0" xfId="0" applyNumberFormat="1" applyFont="1" applyAlignment="1">
      <alignment horizontal="center" vertical="center"/>
    </xf>
    <xf numFmtId="174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0" fontId="7" fillId="2" borderId="0" xfId="0" applyFont="1" applyFill="1" applyAlignment="1">
      <alignment horizontal="left" vertical="center" wrapText="1"/>
    </xf>
    <xf numFmtId="1" fontId="7" fillId="2" borderId="0" xfId="0" applyNumberFormat="1" applyFont="1" applyFill="1" applyAlignment="1">
      <alignment horizontal="center" vertical="center" wrapText="1"/>
    </xf>
    <xf numFmtId="37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right" vertical="center" wrapText="1"/>
    </xf>
    <xf numFmtId="4" fontId="7" fillId="2" borderId="0" xfId="0" applyNumberFormat="1" applyFont="1" applyFill="1"/>
    <xf numFmtId="39" fontId="7" fillId="2" borderId="0" xfId="0" applyNumberFormat="1" applyFont="1" applyFill="1"/>
    <xf numFmtId="37" fontId="0" fillId="2" borderId="0" xfId="0" applyNumberFormat="1" applyFill="1"/>
    <xf numFmtId="37" fontId="6" fillId="0" borderId="0" xfId="1" applyNumberFormat="1" applyFont="1" applyFill="1" applyBorder="1" applyAlignment="1">
      <alignment vertical="center"/>
    </xf>
    <xf numFmtId="4" fontId="6" fillId="0" borderId="0" xfId="0" applyNumberFormat="1" applyFont="1" applyAlignment="1">
      <alignment horizontal="right" vertical="center" wrapText="1"/>
    </xf>
    <xf numFmtId="10" fontId="7" fillId="0" borderId="0" xfId="3" applyNumberFormat="1" applyFont="1" applyFill="1" applyBorder="1"/>
    <xf numFmtId="39" fontId="15" fillId="0" borderId="3" xfId="10" applyNumberFormat="1" applyFont="1" applyBorder="1"/>
    <xf numFmtId="39" fontId="15" fillId="0" borderId="0" xfId="10" applyNumberFormat="1" applyFont="1" applyBorder="1"/>
    <xf numFmtId="44" fontId="27" fillId="0" borderId="14" xfId="10" applyFont="1" applyBorder="1"/>
    <xf numFmtId="44" fontId="15" fillId="0" borderId="14" xfId="9" applyNumberFormat="1" applyFont="1" applyBorder="1" applyAlignment="1">
      <alignment horizontal="center"/>
    </xf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/>
    <xf numFmtId="0" fontId="17" fillId="0" borderId="5" xfId="0" applyFont="1" applyBorder="1"/>
    <xf numFmtId="0" fontId="17" fillId="0" borderId="9" xfId="0" applyFont="1" applyBorder="1"/>
    <xf numFmtId="0" fontId="20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3" fontId="22" fillId="0" borderId="0" xfId="0" applyNumberFormat="1" applyFont="1" applyAlignment="1">
      <alignment horizontal="centerContinuous" vertical="center"/>
    </xf>
    <xf numFmtId="0" fontId="16" fillId="0" borderId="0" xfId="0" applyFont="1"/>
    <xf numFmtId="0" fontId="23" fillId="0" borderId="0" xfId="0" applyFont="1" applyAlignment="1">
      <alignment horizontal="centerContinuous"/>
    </xf>
    <xf numFmtId="0" fontId="21" fillId="0" borderId="0" xfId="0" applyFont="1" applyAlignment="1">
      <alignment horizontal="centerContinuous"/>
    </xf>
    <xf numFmtId="0" fontId="17" fillId="0" borderId="22" xfId="0" applyFont="1" applyBorder="1"/>
    <xf numFmtId="0" fontId="17" fillId="0" borderId="23" xfId="0" applyFont="1" applyBorder="1" applyAlignment="1">
      <alignment horizontal="center"/>
    </xf>
    <xf numFmtId="0" fontId="16" fillId="0" borderId="1" xfId="0" applyFont="1" applyBorder="1"/>
    <xf numFmtId="3" fontId="16" fillId="0" borderId="0" xfId="0" applyNumberFormat="1" applyFont="1"/>
    <xf numFmtId="0" fontId="16" fillId="0" borderId="2" xfId="0" applyFont="1" applyBorder="1" applyAlignment="1">
      <alignment horizontal="centerContinuous"/>
    </xf>
    <xf numFmtId="0" fontId="32" fillId="0" borderId="0" xfId="0" quotePrefix="1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4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3" fillId="0" borderId="9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3" fontId="16" fillId="0" borderId="0" xfId="0" applyNumberFormat="1" applyFont="1" applyAlignment="1">
      <alignment horizontal="center"/>
    </xf>
    <xf numFmtId="43" fontId="16" fillId="0" borderId="2" xfId="0" applyNumberFormat="1" applyFont="1" applyBorder="1" applyAlignment="1">
      <alignment horizontal="center"/>
    </xf>
    <xf numFmtId="37" fontId="17" fillId="0" borderId="0" xfId="0" applyNumberFormat="1" applyFont="1"/>
    <xf numFmtId="43" fontId="16" fillId="0" borderId="9" xfId="1" applyFont="1" applyFill="1" applyBorder="1"/>
    <xf numFmtId="165" fontId="16" fillId="0" borderId="0" xfId="0" applyNumberFormat="1" applyFont="1"/>
    <xf numFmtId="165" fontId="16" fillId="0" borderId="3" xfId="1" applyNumberFormat="1" applyFont="1" applyFill="1" applyBorder="1" applyAlignment="1"/>
    <xf numFmtId="43" fontId="16" fillId="0" borderId="3" xfId="1" applyFont="1" applyFill="1" applyBorder="1" applyAlignment="1"/>
    <xf numFmtId="43" fontId="16" fillId="0" borderId="12" xfId="1" applyFont="1" applyFill="1" applyBorder="1"/>
    <xf numFmtId="43" fontId="16" fillId="0" borderId="13" xfId="0" applyNumberFormat="1" applyFont="1" applyBorder="1" applyAlignment="1">
      <alignment horizontal="center"/>
    </xf>
    <xf numFmtId="43" fontId="16" fillId="0" borderId="3" xfId="1" applyFont="1" applyFill="1" applyBorder="1"/>
    <xf numFmtId="0" fontId="17" fillId="0" borderId="11" xfId="0" applyFont="1" applyBorder="1"/>
    <xf numFmtId="37" fontId="17" fillId="0" borderId="3" xfId="0" applyNumberFormat="1" applyFont="1" applyBorder="1"/>
    <xf numFmtId="0" fontId="17" fillId="0" borderId="10" xfId="0" applyFont="1" applyBorder="1"/>
    <xf numFmtId="0" fontId="17" fillId="0" borderId="3" xfId="0" applyFont="1" applyBorder="1"/>
    <xf numFmtId="1" fontId="6" fillId="0" borderId="3" xfId="0" applyNumberFormat="1" applyFont="1" applyBorder="1" applyAlignment="1">
      <alignment horizontal="left" vertical="top" wrapText="1" indent="7"/>
    </xf>
    <xf numFmtId="0" fontId="22" fillId="0" borderId="3" xfId="0" applyFont="1" applyBorder="1" applyAlignment="1">
      <alignment horizontal="center"/>
    </xf>
    <xf numFmtId="173" fontId="7" fillId="0" borderId="0" xfId="0" applyNumberFormat="1" applyFont="1" applyAlignment="1">
      <alignment vertical="top"/>
    </xf>
    <xf numFmtId="173" fontId="17" fillId="0" borderId="0" xfId="0" applyNumberFormat="1" applyFont="1"/>
    <xf numFmtId="173" fontId="17" fillId="0" borderId="14" xfId="0" applyNumberFormat="1" applyFont="1" applyBorder="1"/>
    <xf numFmtId="0" fontId="16" fillId="0" borderId="0" xfId="0" applyFont="1" applyAlignment="1">
      <alignment vertical="center"/>
    </xf>
    <xf numFmtId="166" fontId="16" fillId="0" borderId="0" xfId="0" applyNumberFormat="1" applyFont="1" applyAlignment="1">
      <alignment vertical="center"/>
    </xf>
    <xf numFmtId="3" fontId="0" fillId="0" borderId="0" xfId="0" applyNumberFormat="1"/>
    <xf numFmtId="175" fontId="0" fillId="0" borderId="0" xfId="0" applyNumberFormat="1"/>
    <xf numFmtId="167" fontId="16" fillId="0" borderId="0" xfId="0" applyNumberFormat="1" applyFont="1" applyAlignment="1">
      <alignment vertical="center"/>
    </xf>
    <xf numFmtId="3" fontId="0" fillId="0" borderId="14" xfId="0" applyNumberFormat="1" applyBorder="1"/>
    <xf numFmtId="0" fontId="16" fillId="0" borderId="3" xfId="0" applyFont="1" applyBorder="1"/>
    <xf numFmtId="166" fontId="16" fillId="0" borderId="3" xfId="0" applyNumberFormat="1" applyFont="1" applyBorder="1"/>
    <xf numFmtId="43" fontId="16" fillId="0" borderId="0" xfId="0" applyNumberFormat="1" applyFont="1" applyAlignment="1">
      <alignment horizontal="center"/>
    </xf>
    <xf numFmtId="166" fontId="17" fillId="0" borderId="0" xfId="0" applyNumberFormat="1" applyFont="1"/>
    <xf numFmtId="37" fontId="0" fillId="0" borderId="0" xfId="0" applyNumberFormat="1"/>
    <xf numFmtId="176" fontId="7" fillId="0" borderId="0" xfId="0" applyNumberFormat="1" applyFont="1"/>
    <xf numFmtId="0" fontId="33" fillId="0" borderId="0" xfId="0" applyFont="1"/>
    <xf numFmtId="3" fontId="33" fillId="0" borderId="0" xfId="0" applyNumberFormat="1" applyFont="1"/>
    <xf numFmtId="177" fontId="17" fillId="0" borderId="3" xfId="0" applyNumberFormat="1" applyFont="1" applyBorder="1" applyAlignment="1">
      <alignment horizontal="center"/>
    </xf>
    <xf numFmtId="177" fontId="17" fillId="0" borderId="0" xfId="0" applyNumberFormat="1" applyFont="1"/>
    <xf numFmtId="177" fontId="17" fillId="0" borderId="3" xfId="0" applyNumberFormat="1" applyFont="1" applyBorder="1"/>
    <xf numFmtId="177" fontId="17" fillId="0" borderId="14" xfId="0" applyNumberFormat="1" applyFont="1" applyBorder="1"/>
    <xf numFmtId="0" fontId="15" fillId="0" borderId="9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0" xfId="0" applyFont="1"/>
    <xf numFmtId="0" fontId="15" fillId="0" borderId="5" xfId="0" applyFont="1" applyBorder="1"/>
    <xf numFmtId="0" fontId="5" fillId="0" borderId="0" xfId="0" applyFont="1"/>
    <xf numFmtId="0" fontId="26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9" xfId="0" applyFont="1" applyBorder="1" applyAlignment="1">
      <alignment horizontal="centerContinuous"/>
    </xf>
    <xf numFmtId="3" fontId="27" fillId="0" borderId="0" xfId="0" applyNumberFormat="1" applyFont="1" applyAlignment="1">
      <alignment horizontal="centerContinuous" vertical="center"/>
    </xf>
    <xf numFmtId="0" fontId="5" fillId="0" borderId="3" xfId="0" applyFont="1" applyBorder="1"/>
    <xf numFmtId="3" fontId="5" fillId="0" borderId="3" xfId="0" applyNumberFormat="1" applyFont="1" applyBorder="1"/>
    <xf numFmtId="3" fontId="5" fillId="0" borderId="9" xfId="0" applyNumberFormat="1" applyFont="1" applyBorder="1"/>
    <xf numFmtId="3" fontId="5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170" fontId="5" fillId="0" borderId="0" xfId="1" applyNumberFormat="1" applyFont="1" applyFill="1" applyBorder="1"/>
    <xf numFmtId="165" fontId="5" fillId="0" borderId="9" xfId="1" applyNumberFormat="1" applyFont="1" applyFill="1" applyBorder="1" applyAlignment="1"/>
    <xf numFmtId="170" fontId="5" fillId="0" borderId="0" xfId="1" applyNumberFormat="1" applyFont="1" applyFill="1" applyBorder="1" applyAlignment="1"/>
    <xf numFmtId="0" fontId="4" fillId="0" borderId="0" xfId="0" applyFont="1"/>
    <xf numFmtId="165" fontId="5" fillId="0" borderId="0" xfId="1" applyNumberFormat="1" applyFont="1" applyFill="1" applyBorder="1"/>
    <xf numFmtId="165" fontId="5" fillId="0" borderId="3" xfId="1" applyNumberFormat="1" applyFont="1" applyFill="1" applyBorder="1" applyAlignment="1"/>
    <xf numFmtId="0" fontId="3" fillId="0" borderId="0" xfId="0" applyFont="1"/>
    <xf numFmtId="0" fontId="9" fillId="0" borderId="0" xfId="0" applyFont="1"/>
    <xf numFmtId="3" fontId="9" fillId="0" borderId="0" xfId="0" applyNumberFormat="1" applyFont="1"/>
    <xf numFmtId="3" fontId="3" fillId="0" borderId="0" xfId="0" applyNumberFormat="1" applyFont="1"/>
    <xf numFmtId="0" fontId="14" fillId="0" borderId="0" xfId="0" applyFont="1"/>
    <xf numFmtId="0" fontId="29" fillId="0" borderId="0" xfId="0" applyFont="1"/>
    <xf numFmtId="3" fontId="30" fillId="0" borderId="0" xfId="0" applyNumberFormat="1" applyFont="1"/>
    <xf numFmtId="44" fontId="31" fillId="0" borderId="0" xfId="2" applyFont="1" applyFill="1" applyBorder="1" applyAlignment="1"/>
    <xf numFmtId="4" fontId="5" fillId="0" borderId="0" xfId="0" applyNumberFormat="1" applyFont="1"/>
    <xf numFmtId="4" fontId="5" fillId="0" borderId="9" xfId="0" applyNumberFormat="1" applyFont="1" applyBorder="1"/>
    <xf numFmtId="10" fontId="5" fillId="0" borderId="0" xfId="3" applyNumberFormat="1" applyFont="1" applyFill="1" applyBorder="1"/>
    <xf numFmtId="44" fontId="29" fillId="0" borderId="0" xfId="2" applyFont="1" applyFill="1" applyBorder="1" applyAlignment="1"/>
    <xf numFmtId="10" fontId="29" fillId="0" borderId="0" xfId="3" applyNumberFormat="1" applyFont="1" applyFill="1" applyBorder="1" applyAlignment="1"/>
    <xf numFmtId="0" fontId="15" fillId="0" borderId="10" xfId="0" applyFont="1" applyBorder="1"/>
    <xf numFmtId="3" fontId="30" fillId="0" borderId="3" xfId="0" applyNumberFormat="1" applyFont="1" applyBorder="1"/>
    <xf numFmtId="3" fontId="5" fillId="0" borderId="11" xfId="0" applyNumberFormat="1" applyFont="1" applyBorder="1"/>
    <xf numFmtId="165" fontId="5" fillId="0" borderId="0" xfId="1" applyNumberFormat="1" applyFont="1" applyFill="1"/>
    <xf numFmtId="0" fontId="13" fillId="0" borderId="0" xfId="0" applyFont="1"/>
    <xf numFmtId="0" fontId="16" fillId="0" borderId="6" xfId="0" applyFont="1" applyBorder="1"/>
    <xf numFmtId="3" fontId="18" fillId="0" borderId="8" xfId="0" applyNumberFormat="1" applyFont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16" fillId="0" borderId="5" xfId="0" applyFont="1" applyBorder="1"/>
    <xf numFmtId="0" fontId="16" fillId="0" borderId="9" xfId="0" applyFont="1" applyBorder="1"/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70" fontId="16" fillId="0" borderId="0" xfId="1" applyNumberFormat="1" applyFont="1" applyFill="1" applyBorder="1" applyAlignment="1">
      <alignment vertical="center"/>
    </xf>
    <xf numFmtId="43" fontId="16" fillId="0" borderId="0" xfId="1" applyFont="1" applyFill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170" fontId="23" fillId="0" borderId="0" xfId="1" applyNumberFormat="1" applyFont="1" applyFill="1" applyBorder="1" applyAlignment="1">
      <alignment vertical="center"/>
    </xf>
    <xf numFmtId="169" fontId="1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 wrapText="1"/>
    </xf>
    <xf numFmtId="169" fontId="16" fillId="0" borderId="0" xfId="0" applyNumberFormat="1" applyFont="1" applyAlignment="1">
      <alignment vertical="center"/>
    </xf>
    <xf numFmtId="4" fontId="16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center" vertical="center"/>
    </xf>
    <xf numFmtId="168" fontId="16" fillId="0" borderId="0" xfId="0" applyNumberFormat="1" applyFont="1" applyAlignment="1">
      <alignment vertical="center"/>
    </xf>
    <xf numFmtId="168" fontId="1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169" fontId="16" fillId="0" borderId="0" xfId="0" applyNumberFormat="1" applyFont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/>
    </xf>
    <xf numFmtId="170" fontId="16" fillId="0" borderId="0" xfId="1" applyNumberFormat="1" applyFont="1" applyFill="1" applyBorder="1" applyAlignment="1"/>
    <xf numFmtId="0" fontId="16" fillId="0" borderId="10" xfId="0" applyFont="1" applyBorder="1"/>
    <xf numFmtId="0" fontId="24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center"/>
    </xf>
    <xf numFmtId="0" fontId="16" fillId="0" borderId="11" xfId="0" applyFont="1" applyBorder="1"/>
    <xf numFmtId="0" fontId="24" fillId="0" borderId="0" xfId="0" applyFont="1" applyAlignment="1">
      <alignment wrapText="1"/>
    </xf>
    <xf numFmtId="43" fontId="16" fillId="0" borderId="25" xfId="1" applyFont="1" applyFill="1" applyBorder="1"/>
    <xf numFmtId="165" fontId="16" fillId="0" borderId="14" xfId="1" applyNumberFormat="1" applyFont="1" applyFill="1" applyBorder="1" applyAlignment="1"/>
    <xf numFmtId="43" fontId="16" fillId="0" borderId="14" xfId="1" applyFont="1" applyFill="1" applyBorder="1" applyAlignment="1"/>
    <xf numFmtId="0" fontId="17" fillId="0" borderId="24" xfId="0" applyFont="1" applyBorder="1"/>
    <xf numFmtId="165" fontId="2" fillId="0" borderId="9" xfId="1" applyNumberFormat="1" applyFont="1" applyFill="1" applyBorder="1" applyAlignment="1"/>
    <xf numFmtId="0" fontId="6" fillId="0" borderId="0" xfId="0" applyFont="1" applyAlignment="1">
      <alignment horizontal="center"/>
    </xf>
    <xf numFmtId="0" fontId="3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center"/>
    </xf>
    <xf numFmtId="0" fontId="15" fillId="0" borderId="3" xfId="9" applyFont="1" applyBorder="1" applyAlignment="1">
      <alignment horizontal="center"/>
    </xf>
    <xf numFmtId="0" fontId="15" fillId="0" borderId="0" xfId="9" applyFont="1" applyAlignment="1">
      <alignment horizontal="center"/>
    </xf>
    <xf numFmtId="0" fontId="0" fillId="0" borderId="3" xfId="0" applyBorder="1" applyAlignment="1">
      <alignment horizontal="center"/>
    </xf>
    <xf numFmtId="0" fontId="35" fillId="0" borderId="3" xfId="0" applyFont="1" applyBorder="1" applyAlignment="1">
      <alignment horizontal="center"/>
    </xf>
    <xf numFmtId="165" fontId="10" fillId="0" borderId="0" xfId="1" applyNumberFormat="1" applyFont="1" applyBorder="1" applyAlignment="1">
      <alignment horizontal="center"/>
    </xf>
    <xf numFmtId="165" fontId="10" fillId="0" borderId="3" xfId="1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16" xfId="0" applyFont="1" applyBorder="1" applyAlignment="1">
      <alignment horizontal="center"/>
    </xf>
    <xf numFmtId="3" fontId="18" fillId="0" borderId="7" xfId="0" applyNumberFormat="1" applyFont="1" applyBorder="1" applyAlignment="1">
      <alignment horizontal="center"/>
    </xf>
    <xf numFmtId="3" fontId="25" fillId="0" borderId="0" xfId="0" applyNumberFormat="1" applyFont="1" applyAlignment="1">
      <alignment horizontal="center"/>
    </xf>
    <xf numFmtId="3" fontId="25" fillId="0" borderId="9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</cellXfs>
  <cellStyles count="12">
    <cellStyle name="Bad" xfId="6" builtinId="27"/>
    <cellStyle name="Comma" xfId="1" builtinId="3"/>
    <cellStyle name="Comma 2" xfId="4" xr:uid="{C7F7EE13-2743-4215-A128-6460504B592A}"/>
    <cellStyle name="Comma 3" xfId="8" xr:uid="{7CF38578-059E-4FBD-A311-73582E737756}"/>
    <cellStyle name="Currency" xfId="2" builtinId="4"/>
    <cellStyle name="Currency 2" xfId="5" xr:uid="{6B24F497-2B46-4348-B228-7FDE38B0B2E4}"/>
    <cellStyle name="Currency 3" xfId="10" xr:uid="{90ED038B-82BC-4F1A-9904-3437F2DBF39C}"/>
    <cellStyle name="Normal" xfId="0" builtinId="0"/>
    <cellStyle name="Normal 2" xfId="7" xr:uid="{1B58FF17-90F9-4BD2-87F1-7BF5AF68F2DA}"/>
    <cellStyle name="Normal 3" xfId="9" xr:uid="{85572DCC-7159-494B-AB24-072A669D493F}"/>
    <cellStyle name="Percent" xfId="3" builtinId="5"/>
    <cellStyle name="Percent 2" xfId="11" xr:uid="{B1F569FC-02C8-4FAE-B008-37C7CBBEB346}"/>
  </cellStyles>
  <dxfs count="0"/>
  <tableStyles count="0" defaultTableStyle="TableStyleMedium9" defaultPivotStyle="PivotStyleLight16"/>
  <colors>
    <mruColors>
      <color rgb="FFFFFFCC"/>
      <color rgb="FFFFFF99"/>
      <color rgb="FFCCFFCC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D48AE-14F9-4529-82D7-13FB3BC23AF2}">
  <sheetPr>
    <pageSetUpPr fitToPage="1"/>
  </sheetPr>
  <dimension ref="B1:P63"/>
  <sheetViews>
    <sheetView showGridLines="0" tabSelected="1" workbookViewId="0">
      <selection activeCell="O46" sqref="O46"/>
    </sheetView>
  </sheetViews>
  <sheetFormatPr defaultColWidth="8.88671875" defaultRowHeight="15" x14ac:dyDescent="0.2"/>
  <cols>
    <col min="1" max="2" width="2.5546875" style="31" customWidth="1"/>
    <col min="3" max="3" width="11.88671875" style="72" customWidth="1"/>
    <col min="4" max="4" width="1.77734375" style="72" customWidth="1"/>
    <col min="5" max="5" width="32.109375" style="31" customWidth="1"/>
    <col min="6" max="6" width="1.77734375" style="31" customWidth="1"/>
    <col min="7" max="7" width="10.5546875" style="138" customWidth="1"/>
    <col min="8" max="8" width="1.77734375" style="116" customWidth="1"/>
    <col min="9" max="9" width="10.5546875" style="117" customWidth="1"/>
    <col min="10" max="10" width="1.77734375" style="117" customWidth="1"/>
    <col min="11" max="11" width="7.6640625" style="118" customWidth="1"/>
    <col min="12" max="12" width="1.77734375" style="118" customWidth="1"/>
    <col min="13" max="13" width="14.21875" style="117" customWidth="1"/>
    <col min="14" max="14" width="1.77734375" style="117" customWidth="1"/>
    <col min="15" max="15" width="23.21875" style="73" customWidth="1"/>
    <col min="16" max="16" width="2.5546875" style="73" customWidth="1"/>
    <col min="17" max="16384" width="8.88671875" style="31"/>
  </cols>
  <sheetData>
    <row r="1" spans="2:16" x14ac:dyDescent="0.2">
      <c r="C1" s="45"/>
      <c r="D1" s="45"/>
      <c r="E1" s="86"/>
      <c r="F1" s="86"/>
      <c r="G1" s="134"/>
      <c r="H1" s="134"/>
      <c r="I1" s="135"/>
      <c r="J1" s="135"/>
      <c r="K1" s="136"/>
      <c r="L1" s="136"/>
      <c r="M1" s="135"/>
      <c r="N1" s="135"/>
      <c r="O1" s="85"/>
    </row>
    <row r="2" spans="2:16" x14ac:dyDescent="0.2">
      <c r="B2" s="81"/>
      <c r="G2" s="31"/>
      <c r="H2" s="31"/>
      <c r="I2" s="31"/>
      <c r="J2" s="31"/>
      <c r="K2" s="72"/>
      <c r="L2" s="72"/>
      <c r="M2" s="31"/>
      <c r="N2" s="31"/>
      <c r="P2" s="119"/>
    </row>
    <row r="3" spans="2:16" ht="15.75" x14ac:dyDescent="0.25">
      <c r="B3" s="82"/>
      <c r="C3" s="333" t="s">
        <v>225</v>
      </c>
      <c r="D3" s="333"/>
      <c r="E3" s="333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121"/>
    </row>
    <row r="4" spans="2:16" ht="15.75" x14ac:dyDescent="0.25">
      <c r="B4" s="82"/>
      <c r="C4" s="333" t="s">
        <v>125</v>
      </c>
      <c r="D4" s="333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121"/>
    </row>
    <row r="5" spans="2:16" ht="15.75" x14ac:dyDescent="0.25">
      <c r="B5" s="82"/>
      <c r="C5" s="333" t="s">
        <v>295</v>
      </c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121"/>
    </row>
    <row r="6" spans="2:16" ht="15.75" x14ac:dyDescent="0.25">
      <c r="B6" s="82"/>
      <c r="C6" s="120"/>
      <c r="D6" s="120"/>
      <c r="E6" s="120"/>
      <c r="F6" s="120"/>
      <c r="G6" s="122"/>
      <c r="H6" s="122"/>
      <c r="I6" s="123"/>
      <c r="J6" s="123"/>
      <c r="K6" s="123"/>
      <c r="L6" s="123"/>
      <c r="M6" s="123"/>
      <c r="N6" s="123"/>
      <c r="P6" s="121"/>
    </row>
    <row r="7" spans="2:16" ht="15.75" x14ac:dyDescent="0.25">
      <c r="B7" s="82"/>
      <c r="C7" s="124" t="s">
        <v>95</v>
      </c>
      <c r="D7" s="120"/>
      <c r="E7" s="124" t="s">
        <v>96</v>
      </c>
      <c r="F7" s="120"/>
      <c r="G7" s="125" t="s">
        <v>379</v>
      </c>
      <c r="H7" s="122"/>
      <c r="I7" s="126" t="s">
        <v>107</v>
      </c>
      <c r="J7" s="123"/>
      <c r="K7" s="126" t="s">
        <v>361</v>
      </c>
      <c r="L7" s="123"/>
      <c r="M7" s="126" t="s">
        <v>108</v>
      </c>
      <c r="N7" s="123"/>
      <c r="O7" s="124" t="s">
        <v>106</v>
      </c>
      <c r="P7" s="121"/>
    </row>
    <row r="8" spans="2:16" x14ac:dyDescent="0.2">
      <c r="B8" s="82"/>
      <c r="C8" s="41" t="s">
        <v>131</v>
      </c>
      <c r="D8" s="41"/>
      <c r="E8" s="42" t="s">
        <v>288</v>
      </c>
      <c r="F8" s="42"/>
      <c r="G8" s="127">
        <v>132758</v>
      </c>
      <c r="H8" s="127"/>
      <c r="I8" s="127">
        <f>G39</f>
        <v>99492</v>
      </c>
      <c r="J8" s="127"/>
      <c r="K8" s="128" t="s">
        <v>362</v>
      </c>
      <c r="L8" s="128"/>
      <c r="M8" s="127"/>
      <c r="N8" s="127"/>
      <c r="O8" s="73" t="s">
        <v>13</v>
      </c>
      <c r="P8" s="121"/>
    </row>
    <row r="9" spans="2:16" x14ac:dyDescent="0.2">
      <c r="B9" s="82"/>
      <c r="C9" s="41"/>
      <c r="D9" s="41"/>
      <c r="E9" s="42"/>
      <c r="F9" s="42"/>
      <c r="G9" s="127"/>
      <c r="H9" s="127"/>
      <c r="I9" s="127">
        <f>Ref!J24</f>
        <v>4497</v>
      </c>
      <c r="J9" s="127"/>
      <c r="K9" s="128" t="s">
        <v>363</v>
      </c>
      <c r="L9" s="128"/>
      <c r="M9" s="127">
        <f>SUM(G8,I8:I9)</f>
        <v>236747</v>
      </c>
      <c r="N9" s="127"/>
      <c r="O9" s="73" t="s">
        <v>13</v>
      </c>
      <c r="P9" s="121"/>
    </row>
    <row r="10" spans="2:16" x14ac:dyDescent="0.2">
      <c r="B10" s="82"/>
      <c r="C10" s="41" t="s">
        <v>133</v>
      </c>
      <c r="D10" s="41"/>
      <c r="E10" s="42" t="s">
        <v>289</v>
      </c>
      <c r="F10" s="42"/>
      <c r="G10" s="127">
        <v>14590</v>
      </c>
      <c r="H10" s="127"/>
      <c r="I10" s="127">
        <f>G40</f>
        <v>5042</v>
      </c>
      <c r="J10" s="127"/>
      <c r="K10" s="128" t="s">
        <v>362</v>
      </c>
      <c r="L10" s="128"/>
      <c r="M10" s="127">
        <f t="shared" ref="M10" si="0">G10+I10</f>
        <v>19632</v>
      </c>
      <c r="N10" s="127"/>
      <c r="O10" s="73" t="s">
        <v>13</v>
      </c>
      <c r="P10" s="121"/>
    </row>
    <row r="11" spans="2:16" x14ac:dyDescent="0.2">
      <c r="B11" s="82"/>
      <c r="C11" s="41" t="s">
        <v>135</v>
      </c>
      <c r="D11" s="41"/>
      <c r="E11" s="42" t="s">
        <v>290</v>
      </c>
      <c r="F11" s="42"/>
      <c r="G11" s="127">
        <v>35258</v>
      </c>
      <c r="H11" s="127"/>
      <c r="I11" s="127">
        <f>G41</f>
        <v>12430</v>
      </c>
      <c r="J11" s="127"/>
      <c r="K11" s="128" t="s">
        <v>362</v>
      </c>
      <c r="L11" s="128"/>
      <c r="M11" s="127"/>
      <c r="N11" s="127"/>
      <c r="O11" s="73" t="s">
        <v>216</v>
      </c>
      <c r="P11" s="121"/>
    </row>
    <row r="12" spans="2:16" x14ac:dyDescent="0.2">
      <c r="B12" s="82"/>
      <c r="C12" s="41"/>
      <c r="D12" s="41"/>
      <c r="E12" s="42"/>
      <c r="F12" s="42"/>
      <c r="G12" s="127"/>
      <c r="H12" s="127"/>
      <c r="I12" s="127">
        <f>Ref!J31</f>
        <v>-6423</v>
      </c>
      <c r="J12" s="127"/>
      <c r="K12" s="128" t="s">
        <v>363</v>
      </c>
      <c r="L12" s="128"/>
      <c r="M12" s="127">
        <f>SUM(G11,I11:I12)</f>
        <v>41265</v>
      </c>
      <c r="N12" s="127"/>
      <c r="O12" s="73" t="s">
        <v>216</v>
      </c>
      <c r="P12" s="121"/>
    </row>
    <row r="13" spans="2:16" x14ac:dyDescent="0.2">
      <c r="B13" s="82"/>
      <c r="C13" s="41" t="s">
        <v>137</v>
      </c>
      <c r="D13" s="41"/>
      <c r="E13" s="42" t="s">
        <v>291</v>
      </c>
      <c r="F13" s="42"/>
      <c r="G13" s="127">
        <v>30468</v>
      </c>
      <c r="H13" s="127"/>
      <c r="I13" s="127">
        <f>G42</f>
        <v>7337</v>
      </c>
      <c r="J13" s="127"/>
      <c r="K13" s="128" t="s">
        <v>362</v>
      </c>
      <c r="L13" s="128"/>
      <c r="M13" s="127"/>
      <c r="N13" s="127"/>
      <c r="O13" s="73" t="s">
        <v>216</v>
      </c>
      <c r="P13" s="121"/>
    </row>
    <row r="14" spans="2:16" x14ac:dyDescent="0.2">
      <c r="B14" s="82"/>
      <c r="C14" s="41"/>
      <c r="D14" s="41"/>
      <c r="E14" s="42"/>
      <c r="F14" s="42"/>
      <c r="G14" s="127"/>
      <c r="H14" s="127"/>
      <c r="I14" s="127">
        <f>Ref!J57</f>
        <v>36214.550000000003</v>
      </c>
      <c r="J14" s="127"/>
      <c r="K14" s="128" t="s">
        <v>364</v>
      </c>
      <c r="L14" s="128"/>
      <c r="M14" s="127">
        <f>SUM(G13,I13:I14)</f>
        <v>74019.55</v>
      </c>
      <c r="N14" s="127"/>
      <c r="O14" s="73" t="s">
        <v>216</v>
      </c>
      <c r="P14" s="121"/>
    </row>
    <row r="15" spans="2:16" x14ac:dyDescent="0.2">
      <c r="B15" s="82"/>
      <c r="C15" s="41" t="s">
        <v>139</v>
      </c>
      <c r="D15" s="41"/>
      <c r="E15" s="42" t="s">
        <v>292</v>
      </c>
      <c r="F15" s="42"/>
      <c r="G15" s="127">
        <v>11208</v>
      </c>
      <c r="H15" s="127"/>
      <c r="I15" s="127">
        <f>G43</f>
        <v>8006</v>
      </c>
      <c r="J15" s="127"/>
      <c r="K15" s="128" t="s">
        <v>362</v>
      </c>
      <c r="L15" s="128"/>
      <c r="M15" s="127"/>
      <c r="N15" s="127"/>
      <c r="O15" s="73" t="s">
        <v>216</v>
      </c>
      <c r="P15" s="121"/>
    </row>
    <row r="16" spans="2:16" x14ac:dyDescent="0.2">
      <c r="B16" s="82"/>
      <c r="C16" s="41"/>
      <c r="D16" s="41"/>
      <c r="E16" s="42"/>
      <c r="F16" s="42"/>
      <c r="G16" s="127"/>
      <c r="H16" s="127"/>
      <c r="I16" s="127">
        <f>Ref!J38</f>
        <v>-1055.5099999999984</v>
      </c>
      <c r="J16" s="127"/>
      <c r="K16" s="128" t="s">
        <v>363</v>
      </c>
      <c r="L16" s="128"/>
      <c r="M16" s="127">
        <f>SUM(G15,I15:I16)</f>
        <v>18158.490000000002</v>
      </c>
      <c r="N16" s="127"/>
      <c r="O16" s="73" t="s">
        <v>216</v>
      </c>
      <c r="P16" s="121"/>
    </row>
    <row r="17" spans="2:16" x14ac:dyDescent="0.2">
      <c r="B17" s="82"/>
      <c r="C17" s="41" t="s">
        <v>141</v>
      </c>
      <c r="D17" s="41"/>
      <c r="E17" s="42" t="s">
        <v>293</v>
      </c>
      <c r="F17" s="42"/>
      <c r="G17" s="127">
        <v>4915</v>
      </c>
      <c r="H17" s="127"/>
      <c r="I17" s="127">
        <f>G44</f>
        <v>3847</v>
      </c>
      <c r="J17" s="127"/>
      <c r="K17" s="128" t="s">
        <v>362</v>
      </c>
      <c r="L17" s="128"/>
      <c r="M17" s="127">
        <f t="shared" ref="M17:M61" si="1">G17+I17</f>
        <v>8762</v>
      </c>
      <c r="N17" s="127"/>
      <c r="O17" s="73" t="s">
        <v>216</v>
      </c>
      <c r="P17" s="121"/>
    </row>
    <row r="18" spans="2:16" x14ac:dyDescent="0.2">
      <c r="B18" s="82"/>
      <c r="C18" s="41" t="s">
        <v>143</v>
      </c>
      <c r="D18" s="41"/>
      <c r="E18" s="31" t="s">
        <v>294</v>
      </c>
      <c r="G18" s="127">
        <v>79</v>
      </c>
      <c r="H18" s="127"/>
      <c r="I18" s="127">
        <f>G45</f>
        <v>64</v>
      </c>
      <c r="J18" s="127"/>
      <c r="K18" s="128" t="s">
        <v>362</v>
      </c>
      <c r="L18" s="128"/>
      <c r="M18" s="127">
        <f t="shared" si="1"/>
        <v>143</v>
      </c>
      <c r="N18" s="127"/>
      <c r="O18" s="73" t="s">
        <v>216</v>
      </c>
      <c r="P18" s="121"/>
    </row>
    <row r="19" spans="2:16" x14ac:dyDescent="0.2">
      <c r="B19" s="82"/>
      <c r="C19" s="41"/>
      <c r="D19" s="41"/>
      <c r="E19" s="31" t="s">
        <v>313</v>
      </c>
      <c r="G19" s="127">
        <v>0</v>
      </c>
      <c r="H19" s="127"/>
      <c r="I19" s="127">
        <f>Electricity!B29</f>
        <v>70462.59</v>
      </c>
      <c r="J19" s="127"/>
      <c r="K19" s="128" t="s">
        <v>385</v>
      </c>
      <c r="L19" s="128"/>
      <c r="M19" s="31"/>
      <c r="N19" s="127"/>
      <c r="O19" s="73" t="s">
        <v>313</v>
      </c>
      <c r="P19" s="121"/>
    </row>
    <row r="20" spans="2:16" x14ac:dyDescent="0.2">
      <c r="B20" s="82"/>
      <c r="C20" s="41"/>
      <c r="D20" s="41"/>
      <c r="G20" s="127"/>
      <c r="H20" s="127"/>
      <c r="I20" s="127">
        <f>Ref!J73</f>
        <v>-4255.9399999999996</v>
      </c>
      <c r="J20" s="127"/>
      <c r="K20" s="128" t="s">
        <v>386</v>
      </c>
      <c r="L20" s="128"/>
      <c r="M20" s="127">
        <f>SUM(G19,I19,I20)</f>
        <v>66206.649999999994</v>
      </c>
      <c r="N20" s="127"/>
      <c r="O20" s="73" t="s">
        <v>313</v>
      </c>
      <c r="P20" s="121"/>
    </row>
    <row r="21" spans="2:16" x14ac:dyDescent="0.2">
      <c r="B21" s="82"/>
      <c r="C21" s="41" t="s">
        <v>145</v>
      </c>
      <c r="D21" s="41"/>
      <c r="E21" s="42" t="s">
        <v>146</v>
      </c>
      <c r="F21" s="42"/>
      <c r="G21" s="129">
        <v>180765</v>
      </c>
      <c r="H21" s="129"/>
      <c r="I21" s="127">
        <f>Ref!H73</f>
        <v>-10918.21</v>
      </c>
      <c r="J21" s="127"/>
      <c r="K21" s="128" t="s">
        <v>386</v>
      </c>
      <c r="L21" s="128"/>
      <c r="M21" s="127">
        <f t="shared" si="1"/>
        <v>169846.79</v>
      </c>
      <c r="N21" s="127"/>
      <c r="O21" s="73" t="s">
        <v>109</v>
      </c>
      <c r="P21" s="121"/>
    </row>
    <row r="22" spans="2:16" x14ac:dyDescent="0.2">
      <c r="B22" s="82"/>
      <c r="C22" s="41" t="s">
        <v>147</v>
      </c>
      <c r="D22" s="41"/>
      <c r="E22" s="42" t="s">
        <v>148</v>
      </c>
      <c r="F22" s="42"/>
      <c r="G22" s="129">
        <v>9183</v>
      </c>
      <c r="H22" s="129"/>
      <c r="I22" s="127">
        <v>0</v>
      </c>
      <c r="J22" s="127"/>
      <c r="K22" s="128"/>
      <c r="L22" s="128"/>
      <c r="M22" s="127">
        <f t="shared" si="1"/>
        <v>9183</v>
      </c>
      <c r="N22" s="127"/>
      <c r="O22" s="73" t="s">
        <v>69</v>
      </c>
      <c r="P22" s="121"/>
    </row>
    <row r="23" spans="2:16" x14ac:dyDescent="0.2">
      <c r="B23" s="82"/>
      <c r="C23" s="41" t="s">
        <v>149</v>
      </c>
      <c r="D23" s="41"/>
      <c r="E23" s="42" t="s">
        <v>150</v>
      </c>
      <c r="F23" s="42"/>
      <c r="G23" s="129">
        <v>94653</v>
      </c>
      <c r="H23" s="129"/>
      <c r="I23" s="127">
        <f>Ref!H78</f>
        <v>-94653</v>
      </c>
      <c r="J23" s="127"/>
      <c r="K23" s="128" t="s">
        <v>404</v>
      </c>
      <c r="L23" s="128"/>
      <c r="M23" s="127">
        <f t="shared" si="1"/>
        <v>0</v>
      </c>
      <c r="N23" s="127"/>
      <c r="O23" s="73" t="s">
        <v>296</v>
      </c>
      <c r="P23" s="121"/>
    </row>
    <row r="24" spans="2:16" x14ac:dyDescent="0.2">
      <c r="B24" s="82"/>
      <c r="C24" s="41" t="s">
        <v>151</v>
      </c>
      <c r="D24" s="41"/>
      <c r="E24" s="42" t="s">
        <v>152</v>
      </c>
      <c r="F24" s="42"/>
      <c r="G24" s="129">
        <v>11397</v>
      </c>
      <c r="H24" s="129"/>
      <c r="I24" s="127">
        <v>0</v>
      </c>
      <c r="J24" s="127"/>
      <c r="K24" s="128"/>
      <c r="L24" s="128"/>
      <c r="M24" s="127">
        <f t="shared" si="1"/>
        <v>11397</v>
      </c>
      <c r="N24" s="127"/>
      <c r="O24" s="73" t="s">
        <v>78</v>
      </c>
      <c r="P24" s="121"/>
    </row>
    <row r="25" spans="2:16" x14ac:dyDescent="0.2">
      <c r="B25" s="82"/>
      <c r="C25" s="41" t="s">
        <v>153</v>
      </c>
      <c r="D25" s="41"/>
      <c r="E25" s="42" t="s">
        <v>154</v>
      </c>
      <c r="F25" s="42"/>
      <c r="G25" s="129">
        <v>1450</v>
      </c>
      <c r="H25" s="129"/>
      <c r="I25" s="127">
        <v>0</v>
      </c>
      <c r="J25" s="127"/>
      <c r="K25" s="128"/>
      <c r="L25" s="128"/>
      <c r="M25" s="127">
        <f t="shared" si="1"/>
        <v>1450</v>
      </c>
      <c r="N25" s="127"/>
      <c r="O25" s="73" t="s">
        <v>78</v>
      </c>
      <c r="P25" s="121"/>
    </row>
    <row r="26" spans="2:16" x14ac:dyDescent="0.2">
      <c r="B26" s="82"/>
      <c r="C26" s="41" t="s">
        <v>155</v>
      </c>
      <c r="D26" s="41"/>
      <c r="E26" s="42" t="s">
        <v>156</v>
      </c>
      <c r="F26" s="42"/>
      <c r="G26" s="129">
        <v>23443</v>
      </c>
      <c r="H26" s="129"/>
      <c r="I26" s="127">
        <v>0</v>
      </c>
      <c r="J26" s="127"/>
      <c r="K26" s="128"/>
      <c r="L26" s="128"/>
      <c r="M26" s="127">
        <f t="shared" si="1"/>
        <v>23443</v>
      </c>
      <c r="N26" s="127"/>
      <c r="O26" s="73" t="s">
        <v>68</v>
      </c>
      <c r="P26" s="121"/>
    </row>
    <row r="27" spans="2:16" x14ac:dyDescent="0.2">
      <c r="B27" s="82"/>
      <c r="C27" s="41" t="s">
        <v>157</v>
      </c>
      <c r="D27" s="41"/>
      <c r="E27" s="42" t="s">
        <v>158</v>
      </c>
      <c r="F27" s="42"/>
      <c r="G27" s="129">
        <v>13790</v>
      </c>
      <c r="H27" s="129"/>
      <c r="I27" s="127">
        <v>0</v>
      </c>
      <c r="J27" s="127"/>
      <c r="K27" s="128"/>
      <c r="L27" s="128"/>
      <c r="M27" s="127">
        <f t="shared" si="1"/>
        <v>13790</v>
      </c>
      <c r="N27" s="127"/>
      <c r="O27" s="73" t="s">
        <v>78</v>
      </c>
      <c r="P27" s="121"/>
    </row>
    <row r="28" spans="2:16" x14ac:dyDescent="0.2">
      <c r="B28" s="82"/>
      <c r="C28" s="41" t="s">
        <v>159</v>
      </c>
      <c r="D28" s="41"/>
      <c r="E28" s="42" t="s">
        <v>160</v>
      </c>
      <c r="F28" s="42"/>
      <c r="G28" s="129">
        <v>27458</v>
      </c>
      <c r="H28" s="129"/>
      <c r="I28" s="127">
        <v>0</v>
      </c>
      <c r="J28" s="127"/>
      <c r="K28" s="128"/>
      <c r="L28" s="128"/>
      <c r="M28" s="127">
        <f t="shared" si="1"/>
        <v>27458</v>
      </c>
      <c r="N28" s="127"/>
      <c r="O28" s="73" t="s">
        <v>218</v>
      </c>
      <c r="P28" s="121"/>
    </row>
    <row r="29" spans="2:16" x14ac:dyDescent="0.2">
      <c r="B29" s="82"/>
      <c r="C29" s="41" t="s">
        <v>161</v>
      </c>
      <c r="D29" s="41"/>
      <c r="E29" s="42" t="s">
        <v>162</v>
      </c>
      <c r="F29" s="42"/>
      <c r="G29" s="129">
        <v>987</v>
      </c>
      <c r="H29" s="129"/>
      <c r="I29" s="127">
        <v>0</v>
      </c>
      <c r="J29" s="127"/>
      <c r="K29" s="128"/>
      <c r="L29" s="128"/>
      <c r="M29" s="127">
        <f t="shared" si="1"/>
        <v>987</v>
      </c>
      <c r="N29" s="127"/>
      <c r="O29" s="73" t="s">
        <v>78</v>
      </c>
      <c r="P29" s="121"/>
    </row>
    <row r="30" spans="2:16" x14ac:dyDescent="0.2">
      <c r="B30" s="82"/>
      <c r="C30" s="41" t="s">
        <v>163</v>
      </c>
      <c r="D30" s="41"/>
      <c r="E30" s="42" t="s">
        <v>164</v>
      </c>
      <c r="F30" s="42"/>
      <c r="G30" s="129">
        <v>1177</v>
      </c>
      <c r="H30" s="129"/>
      <c r="I30" s="127">
        <v>0</v>
      </c>
      <c r="J30" s="127"/>
      <c r="K30" s="128"/>
      <c r="L30" s="128"/>
      <c r="M30" s="127">
        <f t="shared" si="1"/>
        <v>1177</v>
      </c>
      <c r="N30" s="127"/>
      <c r="O30" s="73" t="s">
        <v>78</v>
      </c>
      <c r="P30" s="121"/>
    </row>
    <row r="31" spans="2:16" x14ac:dyDescent="0.2">
      <c r="B31" s="82"/>
      <c r="C31" s="41" t="s">
        <v>165</v>
      </c>
      <c r="D31" s="41"/>
      <c r="E31" s="42" t="s">
        <v>166</v>
      </c>
      <c r="F31" s="42"/>
      <c r="G31" s="129">
        <v>6160</v>
      </c>
      <c r="H31" s="129"/>
      <c r="I31" s="127">
        <v>0</v>
      </c>
      <c r="J31" s="127"/>
      <c r="K31" s="128"/>
      <c r="L31" s="128"/>
      <c r="M31" s="127">
        <f t="shared" si="1"/>
        <v>6160</v>
      </c>
      <c r="N31" s="127"/>
      <c r="O31" s="73" t="s">
        <v>78</v>
      </c>
      <c r="P31" s="121"/>
    </row>
    <row r="32" spans="2:16" x14ac:dyDescent="0.2">
      <c r="B32" s="82"/>
      <c r="C32" s="41" t="s">
        <v>167</v>
      </c>
      <c r="D32" s="41"/>
      <c r="E32" s="42" t="s">
        <v>168</v>
      </c>
      <c r="F32" s="42"/>
      <c r="G32" s="129">
        <v>555</v>
      </c>
      <c r="H32" s="129"/>
      <c r="I32" s="127">
        <v>0</v>
      </c>
      <c r="J32" s="127"/>
      <c r="K32" s="128"/>
      <c r="L32" s="128"/>
      <c r="M32" s="127">
        <f t="shared" si="1"/>
        <v>555</v>
      </c>
      <c r="N32" s="127"/>
      <c r="O32" s="73" t="s">
        <v>112</v>
      </c>
      <c r="P32" s="121"/>
    </row>
    <row r="33" spans="2:16" x14ac:dyDescent="0.2">
      <c r="B33" s="82"/>
      <c r="C33" s="41" t="s">
        <v>169</v>
      </c>
      <c r="D33" s="41"/>
      <c r="E33" s="42" t="s">
        <v>170</v>
      </c>
      <c r="F33" s="42"/>
      <c r="G33" s="129">
        <v>8862</v>
      </c>
      <c r="H33" s="129"/>
      <c r="I33" s="127">
        <v>0</v>
      </c>
      <c r="J33" s="127"/>
      <c r="K33" s="128"/>
      <c r="L33" s="128"/>
      <c r="M33" s="127">
        <f t="shared" si="1"/>
        <v>8862</v>
      </c>
      <c r="N33" s="127"/>
      <c r="O33" s="73" t="s">
        <v>78</v>
      </c>
      <c r="P33" s="121"/>
    </row>
    <row r="34" spans="2:16" x14ac:dyDescent="0.2">
      <c r="B34" s="82"/>
      <c r="C34" s="41" t="s">
        <v>171</v>
      </c>
      <c r="D34" s="41"/>
      <c r="E34" s="42" t="s">
        <v>172</v>
      </c>
      <c r="F34" s="42"/>
      <c r="G34" s="129">
        <v>1386</v>
      </c>
      <c r="H34" s="129"/>
      <c r="I34" s="127">
        <v>0</v>
      </c>
      <c r="J34" s="127"/>
      <c r="K34" s="128"/>
      <c r="L34" s="128"/>
      <c r="M34" s="127">
        <f t="shared" si="1"/>
        <v>1386</v>
      </c>
      <c r="N34" s="127"/>
      <c r="O34" s="73" t="s">
        <v>78</v>
      </c>
      <c r="P34" s="121"/>
    </row>
    <row r="35" spans="2:16" x14ac:dyDescent="0.2">
      <c r="B35" s="82"/>
      <c r="C35" s="41" t="s">
        <v>173</v>
      </c>
      <c r="D35" s="41"/>
      <c r="E35" s="42" t="s">
        <v>174</v>
      </c>
      <c r="F35" s="42"/>
      <c r="G35" s="129">
        <v>8818</v>
      </c>
      <c r="H35" s="129"/>
      <c r="I35" s="127">
        <v>0</v>
      </c>
      <c r="J35" s="127"/>
      <c r="K35" s="128"/>
      <c r="L35" s="128"/>
      <c r="M35" s="127">
        <f t="shared" si="1"/>
        <v>8818</v>
      </c>
      <c r="N35" s="127"/>
      <c r="O35" s="73" t="s">
        <v>296</v>
      </c>
      <c r="P35" s="121"/>
    </row>
    <row r="36" spans="2:16" x14ac:dyDescent="0.2">
      <c r="B36" s="82"/>
      <c r="C36" s="41" t="s">
        <v>175</v>
      </c>
      <c r="D36" s="41"/>
      <c r="E36" s="42" t="s">
        <v>176</v>
      </c>
      <c r="F36" s="42"/>
      <c r="G36" s="129">
        <v>462</v>
      </c>
      <c r="H36" s="129"/>
      <c r="I36" s="127">
        <v>0</v>
      </c>
      <c r="J36" s="127"/>
      <c r="K36" s="128"/>
      <c r="L36" s="128"/>
      <c r="M36" s="127">
        <f t="shared" si="1"/>
        <v>462</v>
      </c>
      <c r="N36" s="127"/>
      <c r="O36" s="73" t="s">
        <v>78</v>
      </c>
      <c r="P36" s="121"/>
    </row>
    <row r="37" spans="2:16" x14ac:dyDescent="0.2">
      <c r="B37" s="82"/>
      <c r="C37" s="41" t="s">
        <v>177</v>
      </c>
      <c r="D37" s="41"/>
      <c r="E37" s="42" t="s">
        <v>178</v>
      </c>
      <c r="F37" s="42"/>
      <c r="G37" s="129">
        <v>1378</v>
      </c>
      <c r="H37" s="129"/>
      <c r="I37" s="127">
        <v>0</v>
      </c>
      <c r="J37" s="127"/>
      <c r="K37" s="128"/>
      <c r="L37" s="128"/>
      <c r="M37" s="127">
        <f t="shared" si="1"/>
        <v>1378</v>
      </c>
      <c r="N37" s="127"/>
      <c r="O37" s="73" t="s">
        <v>78</v>
      </c>
      <c r="P37" s="121"/>
    </row>
    <row r="38" spans="2:16" x14ac:dyDescent="0.2">
      <c r="B38" s="82"/>
      <c r="C38" s="41" t="s">
        <v>179</v>
      </c>
      <c r="D38" s="41"/>
      <c r="E38" s="42" t="s">
        <v>180</v>
      </c>
      <c r="F38" s="42"/>
      <c r="G38" s="129">
        <v>1664</v>
      </c>
      <c r="H38" s="129"/>
      <c r="I38" s="127">
        <v>0</v>
      </c>
      <c r="J38" s="127"/>
      <c r="K38" s="128"/>
      <c r="L38" s="128"/>
      <c r="M38" s="127">
        <f t="shared" si="1"/>
        <v>1664</v>
      </c>
      <c r="N38" s="127"/>
      <c r="O38" s="73" t="s">
        <v>78</v>
      </c>
      <c r="P38" s="121"/>
    </row>
    <row r="39" spans="2:16" x14ac:dyDescent="0.2">
      <c r="B39" s="82"/>
      <c r="C39" s="41" t="s">
        <v>181</v>
      </c>
      <c r="D39" s="41"/>
      <c r="E39" s="42" t="s">
        <v>288</v>
      </c>
      <c r="F39" s="42"/>
      <c r="G39" s="49">
        <v>99492</v>
      </c>
      <c r="H39" s="49"/>
      <c r="I39" s="127">
        <v>-99492</v>
      </c>
      <c r="J39" s="127"/>
      <c r="K39" s="128" t="s">
        <v>362</v>
      </c>
      <c r="L39" s="128"/>
      <c r="M39" s="127">
        <f t="shared" si="1"/>
        <v>0</v>
      </c>
      <c r="N39" s="127"/>
      <c r="O39" s="73" t="s">
        <v>13</v>
      </c>
      <c r="P39" s="121"/>
    </row>
    <row r="40" spans="2:16" x14ac:dyDescent="0.2">
      <c r="B40" s="82"/>
      <c r="C40" s="41" t="s">
        <v>182</v>
      </c>
      <c r="D40" s="41"/>
      <c r="E40" s="42" t="s">
        <v>289</v>
      </c>
      <c r="F40" s="42"/>
      <c r="G40" s="49">
        <v>5042</v>
      </c>
      <c r="H40" s="49"/>
      <c r="I40" s="127">
        <v>-5042</v>
      </c>
      <c r="J40" s="127"/>
      <c r="K40" s="128" t="s">
        <v>362</v>
      </c>
      <c r="L40" s="128"/>
      <c r="M40" s="127">
        <f t="shared" si="1"/>
        <v>0</v>
      </c>
      <c r="N40" s="127"/>
      <c r="O40" s="73" t="s">
        <v>13</v>
      </c>
      <c r="P40" s="121"/>
    </row>
    <row r="41" spans="2:16" x14ac:dyDescent="0.2">
      <c r="B41" s="82"/>
      <c r="C41" s="41" t="s">
        <v>183</v>
      </c>
      <c r="D41" s="41"/>
      <c r="E41" s="42" t="s">
        <v>290</v>
      </c>
      <c r="F41" s="42"/>
      <c r="G41" s="49">
        <v>12430</v>
      </c>
      <c r="H41" s="49"/>
      <c r="I41" s="127">
        <v>-12430</v>
      </c>
      <c r="J41" s="127"/>
      <c r="K41" s="128" t="s">
        <v>362</v>
      </c>
      <c r="L41" s="128"/>
      <c r="M41" s="127">
        <f t="shared" si="1"/>
        <v>0</v>
      </c>
      <c r="N41" s="127"/>
      <c r="O41" s="73" t="s">
        <v>13</v>
      </c>
      <c r="P41" s="121"/>
    </row>
    <row r="42" spans="2:16" x14ac:dyDescent="0.2">
      <c r="B42" s="82"/>
      <c r="C42" s="41" t="s">
        <v>184</v>
      </c>
      <c r="D42" s="41"/>
      <c r="E42" s="42" t="s">
        <v>291</v>
      </c>
      <c r="F42" s="42"/>
      <c r="G42" s="49">
        <v>7337</v>
      </c>
      <c r="H42" s="49"/>
      <c r="I42" s="127">
        <v>-7337</v>
      </c>
      <c r="J42" s="127"/>
      <c r="K42" s="128" t="s">
        <v>362</v>
      </c>
      <c r="L42" s="128"/>
      <c r="M42" s="127">
        <f t="shared" si="1"/>
        <v>0</v>
      </c>
      <c r="N42" s="127"/>
      <c r="O42" s="73" t="s">
        <v>13</v>
      </c>
      <c r="P42" s="121"/>
    </row>
    <row r="43" spans="2:16" x14ac:dyDescent="0.2">
      <c r="B43" s="82"/>
      <c r="C43" s="41" t="s">
        <v>185</v>
      </c>
      <c r="D43" s="41"/>
      <c r="E43" s="42" t="s">
        <v>292</v>
      </c>
      <c r="F43" s="42"/>
      <c r="G43" s="49">
        <v>8006</v>
      </c>
      <c r="H43" s="49"/>
      <c r="I43" s="127">
        <v>-8006</v>
      </c>
      <c r="J43" s="127"/>
      <c r="K43" s="128" t="s">
        <v>362</v>
      </c>
      <c r="L43" s="128"/>
      <c r="M43" s="127">
        <f t="shared" si="1"/>
        <v>0</v>
      </c>
      <c r="N43" s="127"/>
      <c r="O43" s="73" t="s">
        <v>13</v>
      </c>
      <c r="P43" s="121"/>
    </row>
    <row r="44" spans="2:16" x14ac:dyDescent="0.2">
      <c r="B44" s="82"/>
      <c r="C44" s="41" t="s">
        <v>186</v>
      </c>
      <c r="D44" s="41"/>
      <c r="E44" s="42" t="s">
        <v>293</v>
      </c>
      <c r="F44" s="42"/>
      <c r="G44" s="49">
        <v>3847</v>
      </c>
      <c r="H44" s="49"/>
      <c r="I44" s="127">
        <v>-3847</v>
      </c>
      <c r="J44" s="127"/>
      <c r="K44" s="128" t="s">
        <v>362</v>
      </c>
      <c r="L44" s="128"/>
      <c r="M44" s="127">
        <f t="shared" si="1"/>
        <v>0</v>
      </c>
      <c r="N44" s="127"/>
      <c r="O44" s="73" t="s">
        <v>13</v>
      </c>
      <c r="P44" s="121"/>
    </row>
    <row r="45" spans="2:16" x14ac:dyDescent="0.2">
      <c r="B45" s="82"/>
      <c r="C45" s="41" t="s">
        <v>187</v>
      </c>
      <c r="D45" s="41"/>
      <c r="E45" s="31" t="s">
        <v>294</v>
      </c>
      <c r="G45" s="49">
        <v>64</v>
      </c>
      <c r="H45" s="49"/>
      <c r="I45" s="127">
        <v>-64</v>
      </c>
      <c r="J45" s="127"/>
      <c r="K45" s="128" t="s">
        <v>362</v>
      </c>
      <c r="L45" s="128"/>
      <c r="M45" s="127">
        <f t="shared" si="1"/>
        <v>0</v>
      </c>
      <c r="N45" s="127"/>
      <c r="O45" s="73" t="s">
        <v>13</v>
      </c>
      <c r="P45" s="121"/>
    </row>
    <row r="46" spans="2:16" x14ac:dyDescent="0.2">
      <c r="B46" s="82"/>
      <c r="C46" s="41" t="s">
        <v>188</v>
      </c>
      <c r="D46" s="41"/>
      <c r="E46" s="42" t="s">
        <v>189</v>
      </c>
      <c r="F46" s="42"/>
      <c r="G46" s="129">
        <v>72727</v>
      </c>
      <c r="H46" s="129"/>
      <c r="I46" s="127">
        <f>Ref!H79</f>
        <v>-72727</v>
      </c>
      <c r="J46" s="127"/>
      <c r="K46" s="128" t="s">
        <v>404</v>
      </c>
      <c r="L46" s="128"/>
      <c r="M46" s="127">
        <f t="shared" si="1"/>
        <v>0</v>
      </c>
      <c r="N46" s="127"/>
      <c r="O46" s="73" t="s">
        <v>296</v>
      </c>
      <c r="P46" s="121"/>
    </row>
    <row r="47" spans="2:16" x14ac:dyDescent="0.2">
      <c r="B47" s="82"/>
      <c r="C47" s="41" t="s">
        <v>190</v>
      </c>
      <c r="D47" s="41"/>
      <c r="E47" s="42" t="s">
        <v>152</v>
      </c>
      <c r="F47" s="42"/>
      <c r="G47" s="129">
        <v>10696</v>
      </c>
      <c r="H47" s="129"/>
      <c r="I47" s="127"/>
      <c r="J47" s="127"/>
      <c r="K47" s="128"/>
      <c r="L47" s="128"/>
      <c r="M47" s="127">
        <f t="shared" si="1"/>
        <v>10696</v>
      </c>
      <c r="N47" s="127"/>
      <c r="O47" s="73" t="s">
        <v>78</v>
      </c>
      <c r="P47" s="121"/>
    </row>
    <row r="48" spans="2:16" x14ac:dyDescent="0.2">
      <c r="B48" s="82"/>
      <c r="C48" s="41" t="s">
        <v>191</v>
      </c>
      <c r="D48" s="41"/>
      <c r="E48" s="42" t="s">
        <v>154</v>
      </c>
      <c r="F48" s="42"/>
      <c r="G48" s="129">
        <v>1491</v>
      </c>
      <c r="H48" s="129"/>
      <c r="I48" s="127"/>
      <c r="J48" s="127"/>
      <c r="K48" s="128"/>
      <c r="L48" s="128"/>
      <c r="M48" s="127">
        <f t="shared" si="1"/>
        <v>1491</v>
      </c>
      <c r="N48" s="127"/>
      <c r="O48" s="73" t="s">
        <v>78</v>
      </c>
      <c r="P48" s="121"/>
    </row>
    <row r="49" spans="2:16" x14ac:dyDescent="0.2">
      <c r="B49" s="82"/>
      <c r="C49" s="41" t="s">
        <v>192</v>
      </c>
      <c r="D49" s="41"/>
      <c r="E49" s="42" t="s">
        <v>156</v>
      </c>
      <c r="F49" s="42"/>
      <c r="G49" s="129">
        <v>25057</v>
      </c>
      <c r="H49" s="129"/>
      <c r="I49" s="127"/>
      <c r="J49" s="127"/>
      <c r="K49" s="128"/>
      <c r="L49" s="128"/>
      <c r="M49" s="127">
        <f t="shared" si="1"/>
        <v>25057</v>
      </c>
      <c r="N49" s="127"/>
      <c r="O49" s="73" t="s">
        <v>68</v>
      </c>
      <c r="P49" s="121"/>
    </row>
    <row r="50" spans="2:16" x14ac:dyDescent="0.2">
      <c r="B50" s="82"/>
      <c r="C50" s="41" t="s">
        <v>193</v>
      </c>
      <c r="D50" s="41"/>
      <c r="E50" s="42" t="s">
        <v>160</v>
      </c>
      <c r="F50" s="42"/>
      <c r="G50" s="129">
        <v>7755</v>
      </c>
      <c r="H50" s="129"/>
      <c r="I50" s="127"/>
      <c r="J50" s="127"/>
      <c r="K50" s="128"/>
      <c r="L50" s="128"/>
      <c r="M50" s="127">
        <f t="shared" si="1"/>
        <v>7755</v>
      </c>
      <c r="N50" s="127"/>
      <c r="O50" s="73" t="s">
        <v>218</v>
      </c>
      <c r="P50" s="121"/>
    </row>
    <row r="51" spans="2:16" x14ac:dyDescent="0.2">
      <c r="B51" s="82"/>
      <c r="C51" s="41" t="s">
        <v>194</v>
      </c>
      <c r="D51" s="41"/>
      <c r="E51" s="42" t="s">
        <v>164</v>
      </c>
      <c r="F51" s="42"/>
      <c r="G51" s="129">
        <v>1142</v>
      </c>
      <c r="H51" s="129"/>
      <c r="I51" s="127"/>
      <c r="J51" s="127"/>
      <c r="K51" s="128"/>
      <c r="L51" s="128"/>
      <c r="M51" s="127">
        <f t="shared" si="1"/>
        <v>1142</v>
      </c>
      <c r="N51" s="127"/>
      <c r="O51" s="73" t="s">
        <v>78</v>
      </c>
      <c r="P51" s="121"/>
    </row>
    <row r="52" spans="2:16" x14ac:dyDescent="0.2">
      <c r="B52" s="82"/>
      <c r="C52" s="41" t="s">
        <v>195</v>
      </c>
      <c r="D52" s="41"/>
      <c r="E52" s="42" t="s">
        <v>170</v>
      </c>
      <c r="F52" s="42"/>
      <c r="G52" s="129">
        <v>9118</v>
      </c>
      <c r="H52" s="129"/>
      <c r="I52" s="127"/>
      <c r="J52" s="127"/>
      <c r="K52" s="128"/>
      <c r="L52" s="128"/>
      <c r="M52" s="127">
        <f t="shared" si="1"/>
        <v>9118</v>
      </c>
      <c r="N52" s="127"/>
      <c r="O52" s="73" t="s">
        <v>78</v>
      </c>
      <c r="P52" s="121"/>
    </row>
    <row r="53" spans="2:16" x14ac:dyDescent="0.2">
      <c r="B53" s="82"/>
      <c r="C53" s="41" t="s">
        <v>196</v>
      </c>
      <c r="D53" s="41"/>
      <c r="E53" s="42" t="s">
        <v>172</v>
      </c>
      <c r="F53" s="42"/>
      <c r="G53" s="129">
        <v>1391</v>
      </c>
      <c r="H53" s="129"/>
      <c r="I53" s="127"/>
      <c r="J53" s="127"/>
      <c r="K53" s="128"/>
      <c r="L53" s="128"/>
      <c r="M53" s="127">
        <f t="shared" si="1"/>
        <v>1391</v>
      </c>
      <c r="N53" s="127"/>
      <c r="O53" s="73" t="s">
        <v>78</v>
      </c>
      <c r="P53" s="121"/>
    </row>
    <row r="54" spans="2:16" x14ac:dyDescent="0.2">
      <c r="B54" s="82"/>
      <c r="C54" s="41" t="s">
        <v>197</v>
      </c>
      <c r="D54" s="41"/>
      <c r="E54" s="42" t="s">
        <v>174</v>
      </c>
      <c r="F54" s="42"/>
      <c r="G54" s="129">
        <v>9529</v>
      </c>
      <c r="H54" s="129"/>
      <c r="I54" s="127">
        <v>0</v>
      </c>
      <c r="J54" s="127"/>
      <c r="K54" s="128"/>
      <c r="L54" s="128"/>
      <c r="M54" s="127">
        <f t="shared" si="1"/>
        <v>9529</v>
      </c>
      <c r="N54" s="127"/>
      <c r="O54" s="73" t="s">
        <v>296</v>
      </c>
      <c r="P54" s="121"/>
    </row>
    <row r="55" spans="2:16" x14ac:dyDescent="0.2">
      <c r="B55" s="82"/>
      <c r="C55" s="41" t="s">
        <v>198</v>
      </c>
      <c r="D55" s="41"/>
      <c r="E55" s="42" t="s">
        <v>176</v>
      </c>
      <c r="F55" s="42"/>
      <c r="G55" s="129">
        <v>462</v>
      </c>
      <c r="H55" s="129"/>
      <c r="I55" s="127">
        <v>0</v>
      </c>
      <c r="J55" s="127"/>
      <c r="K55" s="128"/>
      <c r="L55" s="128"/>
      <c r="M55" s="127">
        <f t="shared" si="1"/>
        <v>462</v>
      </c>
      <c r="N55" s="127"/>
      <c r="O55" s="73" t="s">
        <v>78</v>
      </c>
      <c r="P55" s="121"/>
    </row>
    <row r="56" spans="2:16" x14ac:dyDescent="0.2">
      <c r="B56" s="82"/>
      <c r="C56" s="41" t="s">
        <v>199</v>
      </c>
      <c r="D56" s="41"/>
      <c r="E56" s="42" t="s">
        <v>178</v>
      </c>
      <c r="F56" s="42"/>
      <c r="G56" s="129">
        <v>201</v>
      </c>
      <c r="H56" s="129"/>
      <c r="I56" s="127">
        <v>0</v>
      </c>
      <c r="J56" s="127"/>
      <c r="K56" s="128"/>
      <c r="L56" s="128"/>
      <c r="M56" s="127">
        <f t="shared" si="1"/>
        <v>201</v>
      </c>
      <c r="N56" s="127"/>
      <c r="O56" s="73" t="s">
        <v>78</v>
      </c>
      <c r="P56" s="121"/>
    </row>
    <row r="57" spans="2:16" x14ac:dyDescent="0.2">
      <c r="B57" s="82"/>
      <c r="C57" s="41" t="s">
        <v>200</v>
      </c>
      <c r="D57" s="41"/>
      <c r="E57" s="42" t="s">
        <v>180</v>
      </c>
      <c r="F57" s="42"/>
      <c r="G57" s="129">
        <v>1664</v>
      </c>
      <c r="H57" s="129"/>
      <c r="I57" s="127">
        <v>0</v>
      </c>
      <c r="J57" s="127"/>
      <c r="K57" s="128"/>
      <c r="L57" s="128"/>
      <c r="M57" s="127">
        <f t="shared" si="1"/>
        <v>1664</v>
      </c>
      <c r="N57" s="127"/>
      <c r="O57" s="73" t="s">
        <v>218</v>
      </c>
      <c r="P57" s="121"/>
    </row>
    <row r="58" spans="2:16" x14ac:dyDescent="0.2">
      <c r="B58" s="82"/>
      <c r="C58" s="41" t="s">
        <v>201</v>
      </c>
      <c r="D58" s="41"/>
      <c r="E58" s="42" t="s">
        <v>202</v>
      </c>
      <c r="F58" s="42"/>
      <c r="G58" s="129">
        <v>45207</v>
      </c>
      <c r="H58" s="129"/>
      <c r="I58" s="127">
        <v>0</v>
      </c>
      <c r="J58" s="127"/>
      <c r="K58" s="128"/>
      <c r="L58" s="128"/>
      <c r="M58" s="127">
        <f t="shared" si="1"/>
        <v>45207</v>
      </c>
      <c r="N58" s="127"/>
      <c r="O58" s="73" t="s">
        <v>218</v>
      </c>
      <c r="P58" s="121"/>
    </row>
    <row r="59" spans="2:16" x14ac:dyDescent="0.2">
      <c r="B59" s="82"/>
      <c r="C59" s="41" t="s">
        <v>203</v>
      </c>
      <c r="D59" s="41"/>
      <c r="E59" s="42" t="s">
        <v>204</v>
      </c>
      <c r="F59" s="42"/>
      <c r="G59" s="129">
        <v>21397</v>
      </c>
      <c r="H59" s="129"/>
      <c r="I59" s="127">
        <v>0</v>
      </c>
      <c r="J59" s="127"/>
      <c r="K59" s="128"/>
      <c r="L59" s="128"/>
      <c r="M59" s="127">
        <f t="shared" si="1"/>
        <v>21397</v>
      </c>
      <c r="N59" s="127"/>
      <c r="O59" s="73" t="s">
        <v>218</v>
      </c>
      <c r="P59" s="121"/>
    </row>
    <row r="60" spans="2:16" x14ac:dyDescent="0.2">
      <c r="B60" s="82"/>
      <c r="C60" s="41" t="s">
        <v>205</v>
      </c>
      <c r="D60" s="41"/>
      <c r="E60" s="42" t="s">
        <v>206</v>
      </c>
      <c r="F60" s="42"/>
      <c r="G60" s="129">
        <v>2625</v>
      </c>
      <c r="H60" s="129"/>
      <c r="I60" s="127">
        <v>0</v>
      </c>
      <c r="J60" s="127"/>
      <c r="K60" s="128"/>
      <c r="L60" s="128"/>
      <c r="M60" s="127">
        <f t="shared" si="1"/>
        <v>2625</v>
      </c>
      <c r="N60" s="127"/>
      <c r="O60" s="73" t="s">
        <v>218</v>
      </c>
      <c r="P60" s="121"/>
    </row>
    <row r="61" spans="2:16" x14ac:dyDescent="0.2">
      <c r="B61" s="82"/>
      <c r="C61" s="130"/>
      <c r="D61" s="130"/>
      <c r="E61" s="31" t="s">
        <v>207</v>
      </c>
      <c r="G61" s="159">
        <v>0</v>
      </c>
      <c r="H61" s="129"/>
      <c r="I61" s="160">
        <f>Depreciation!I48</f>
        <v>168976.3</v>
      </c>
      <c r="J61" s="127"/>
      <c r="K61" s="128" t="s">
        <v>405</v>
      </c>
      <c r="L61" s="128"/>
      <c r="M61" s="160">
        <f t="shared" si="1"/>
        <v>168976.3</v>
      </c>
      <c r="N61" s="127"/>
      <c r="O61" s="73" t="s">
        <v>126</v>
      </c>
      <c r="P61" s="121"/>
    </row>
    <row r="62" spans="2:16" ht="15.75" thickBot="1" x14ac:dyDescent="0.25">
      <c r="B62" s="82"/>
      <c r="C62" s="130"/>
      <c r="D62" s="130"/>
      <c r="E62" s="44"/>
      <c r="F62" s="44"/>
      <c r="G62" s="131">
        <f>SUM(G8:G61)</f>
        <v>969544</v>
      </c>
      <c r="H62" s="129"/>
      <c r="I62" s="132">
        <f>SUM(I8:I61)</f>
        <v>90117.77999999997</v>
      </c>
      <c r="J62" s="133"/>
      <c r="K62" s="128"/>
      <c r="L62" s="139"/>
      <c r="M62" s="132">
        <f>ROUND(SUM(M8:M61),0)</f>
        <v>1059662</v>
      </c>
      <c r="N62" s="133"/>
      <c r="P62" s="121"/>
    </row>
    <row r="63" spans="2:16" ht="15.75" thickTop="1" x14ac:dyDescent="0.2">
      <c r="B63" s="84"/>
      <c r="C63" s="45"/>
      <c r="D63" s="45"/>
      <c r="E63" s="86"/>
      <c r="F63" s="86"/>
      <c r="G63" s="134"/>
      <c r="H63" s="134"/>
      <c r="I63" s="135"/>
      <c r="J63" s="135"/>
      <c r="K63" s="136"/>
      <c r="L63" s="136"/>
      <c r="M63" s="135"/>
      <c r="N63" s="135"/>
      <c r="O63" s="85"/>
      <c r="P63" s="137"/>
    </row>
  </sheetData>
  <sortState xmlns:xlrd2="http://schemas.microsoft.com/office/spreadsheetml/2017/richdata2" ref="C8:M62">
    <sortCondition ref="C8:C62"/>
  </sortState>
  <mergeCells count="3">
    <mergeCell ref="C3:O3"/>
    <mergeCell ref="C4:O4"/>
    <mergeCell ref="C5:O5"/>
  </mergeCells>
  <printOptions horizontalCentered="1" verticalCentered="1"/>
  <pageMargins left="0.45" right="0.45" top="0.75" bottom="0.75" header="0.3" footer="0.3"/>
  <pageSetup scale="77" fitToHeight="0" orientation="portrait" horizontalDpi="4294967293" r:id="rId1"/>
  <ignoredErrors>
    <ignoredError sqref="C8:M62" emptyCellReferenc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U69"/>
  <sheetViews>
    <sheetView showGridLines="0" workbookViewId="0">
      <selection sqref="A1:XFD1048576"/>
    </sheetView>
  </sheetViews>
  <sheetFormatPr defaultColWidth="8.88671875" defaultRowHeight="15.75" x14ac:dyDescent="0.25"/>
  <cols>
    <col min="1" max="1" width="3.44140625" style="194" customWidth="1"/>
    <col min="2" max="2" width="2.6640625" style="194" customWidth="1"/>
    <col min="3" max="8" width="9.6640625" style="194" customWidth="1"/>
    <col min="9" max="9" width="2.77734375" style="194" customWidth="1"/>
    <col min="10" max="10" width="2.44140625" style="194" customWidth="1"/>
    <col min="11" max="11" width="1.77734375" style="194" customWidth="1"/>
    <col min="12" max="12" width="8.88671875" style="194"/>
    <col min="13" max="13" width="1.77734375" style="194" customWidth="1"/>
    <col min="14" max="14" width="11.33203125" style="194" customWidth="1"/>
    <col min="15" max="15" width="1.77734375" style="194" customWidth="1"/>
    <col min="16" max="16" width="11.21875" style="194" customWidth="1"/>
    <col min="17" max="18" width="1.77734375" style="194" customWidth="1"/>
    <col min="19" max="19" width="8.88671875" style="194"/>
    <col min="20" max="20" width="1.77734375" style="194" customWidth="1"/>
    <col min="21" max="21" width="8.88671875" style="194"/>
    <col min="22" max="22" width="1.77734375" style="194" customWidth="1"/>
    <col min="23" max="23" width="8.88671875" style="194"/>
    <col min="24" max="25" width="1.77734375" style="194" customWidth="1"/>
    <col min="26" max="26" width="8.88671875" style="194"/>
    <col min="27" max="27" width="1.77734375" style="194" customWidth="1"/>
    <col min="28" max="28" width="8.88671875" style="194"/>
    <col min="29" max="29" width="1.77734375" style="194" customWidth="1"/>
    <col min="30" max="30" width="8.88671875" style="194"/>
    <col min="31" max="31" width="1.77734375" style="194" customWidth="1"/>
    <col min="32" max="38" width="8.88671875" style="194"/>
    <col min="39" max="47" width="16.77734375" style="194" customWidth="1"/>
    <col min="48" max="16384" width="8.88671875" style="194"/>
  </cols>
  <sheetData>
    <row r="2" spans="2:47" x14ac:dyDescent="0.25">
      <c r="B2" s="191"/>
      <c r="C2" s="192"/>
      <c r="D2" s="192"/>
      <c r="E2" s="192"/>
      <c r="F2" s="192"/>
      <c r="G2" s="192"/>
      <c r="H2" s="192"/>
      <c r="I2" s="193"/>
    </row>
    <row r="3" spans="2:47" ht="18.75" x14ac:dyDescent="0.3">
      <c r="B3" s="195"/>
      <c r="C3" s="345" t="s">
        <v>357</v>
      </c>
      <c r="D3" s="345"/>
      <c r="E3" s="345"/>
      <c r="F3" s="345"/>
      <c r="G3" s="345"/>
      <c r="H3" s="345"/>
      <c r="I3" s="196"/>
    </row>
    <row r="4" spans="2:47" ht="18.75" x14ac:dyDescent="0.3">
      <c r="B4" s="195"/>
      <c r="C4" s="197" t="s">
        <v>23</v>
      </c>
      <c r="D4" s="198"/>
      <c r="E4" s="198"/>
      <c r="F4" s="198"/>
      <c r="G4" s="198"/>
      <c r="H4" s="198"/>
      <c r="I4" s="196"/>
    </row>
    <row r="5" spans="2:47" x14ac:dyDescent="0.25">
      <c r="B5" s="195"/>
      <c r="C5" s="199" t="s">
        <v>130</v>
      </c>
      <c r="D5" s="198"/>
      <c r="E5" s="198"/>
      <c r="F5" s="198"/>
      <c r="G5" s="198"/>
      <c r="H5" s="198"/>
      <c r="I5" s="196"/>
    </row>
    <row r="6" spans="2:47" x14ac:dyDescent="0.25">
      <c r="B6" s="195"/>
      <c r="C6" s="200"/>
      <c r="D6" s="200"/>
      <c r="E6" s="200"/>
      <c r="F6" s="200"/>
      <c r="G6" s="200"/>
      <c r="H6" s="200"/>
      <c r="I6" s="196"/>
    </row>
    <row r="7" spans="2:47" x14ac:dyDescent="0.25">
      <c r="B7" s="195"/>
      <c r="C7" s="200"/>
      <c r="D7" s="200"/>
      <c r="E7" s="200"/>
      <c r="F7" s="200"/>
      <c r="G7" s="200"/>
      <c r="H7" s="200"/>
      <c r="I7" s="196"/>
    </row>
    <row r="8" spans="2:47" x14ac:dyDescent="0.25">
      <c r="B8" s="195"/>
      <c r="C8" s="201" t="s">
        <v>24</v>
      </c>
      <c r="D8" s="201"/>
      <c r="E8" s="202"/>
      <c r="F8" s="202"/>
      <c r="G8" s="202"/>
      <c r="H8" s="202"/>
      <c r="I8" s="196"/>
      <c r="K8" s="203"/>
      <c r="L8" s="347" t="s">
        <v>391</v>
      </c>
      <c r="M8" s="347"/>
      <c r="N8" s="347"/>
      <c r="O8" s="347"/>
      <c r="P8" s="347"/>
      <c r="Q8" s="204"/>
      <c r="R8" s="203"/>
      <c r="S8" s="347" t="s">
        <v>380</v>
      </c>
      <c r="T8" s="347"/>
      <c r="U8" s="347"/>
      <c r="V8" s="347"/>
      <c r="W8" s="347"/>
      <c r="X8" s="204"/>
      <c r="Y8" s="203"/>
      <c r="Z8" s="347" t="s">
        <v>381</v>
      </c>
      <c r="AA8" s="347"/>
      <c r="AB8" s="347"/>
      <c r="AC8" s="347"/>
      <c r="AD8" s="347"/>
      <c r="AE8" s="204"/>
      <c r="AL8" s="200"/>
      <c r="AM8" s="346" t="s">
        <v>129</v>
      </c>
      <c r="AN8" s="346"/>
      <c r="AO8" s="346"/>
      <c r="AP8" s="346"/>
      <c r="AQ8" s="346"/>
      <c r="AR8" s="346"/>
      <c r="AS8" s="346"/>
      <c r="AT8" s="346"/>
    </row>
    <row r="9" spans="2:47" ht="6.95" customHeight="1" x14ac:dyDescent="0.25">
      <c r="B9" s="195"/>
      <c r="C9" s="205"/>
      <c r="D9" s="205"/>
      <c r="E9" s="205"/>
      <c r="F9" s="205"/>
      <c r="G9" s="205"/>
      <c r="H9" s="205"/>
      <c r="I9" s="196"/>
      <c r="K9" s="195"/>
      <c r="Q9" s="196"/>
      <c r="R9" s="195"/>
      <c r="X9" s="196"/>
      <c r="Y9" s="195"/>
      <c r="AE9" s="196"/>
      <c r="AL9" s="200"/>
      <c r="AM9" s="200"/>
      <c r="AN9" s="200"/>
      <c r="AO9" s="200"/>
      <c r="AP9" s="200"/>
      <c r="AQ9" s="200"/>
      <c r="AR9" s="200"/>
      <c r="AS9" s="200"/>
    </row>
    <row r="10" spans="2:47" x14ac:dyDescent="0.25">
      <c r="B10" s="195"/>
      <c r="C10" s="206"/>
      <c r="D10" s="198" t="s">
        <v>25</v>
      </c>
      <c r="E10" s="198"/>
      <c r="F10" s="198"/>
      <c r="G10" s="207" t="s">
        <v>384</v>
      </c>
      <c r="H10" s="198"/>
      <c r="I10" s="196"/>
      <c r="K10" s="195"/>
      <c r="Q10" s="196"/>
      <c r="R10" s="195"/>
      <c r="X10" s="196"/>
      <c r="Y10" s="195"/>
      <c r="AE10" s="196"/>
      <c r="AL10" s="200"/>
      <c r="AM10" s="208" t="s">
        <v>127</v>
      </c>
      <c r="AN10" s="208" t="s">
        <v>128</v>
      </c>
      <c r="AO10" s="208" t="s">
        <v>75</v>
      </c>
      <c r="AP10" s="208" t="s">
        <v>70</v>
      </c>
      <c r="AQ10" s="208" t="s">
        <v>71</v>
      </c>
      <c r="AR10" s="208" t="s">
        <v>74</v>
      </c>
      <c r="AS10" s="208" t="s">
        <v>72</v>
      </c>
      <c r="AT10" s="208" t="s">
        <v>73</v>
      </c>
      <c r="AU10" s="200"/>
    </row>
    <row r="11" spans="2:47" x14ac:dyDescent="0.25">
      <c r="B11" s="195"/>
      <c r="C11" s="209" t="s">
        <v>26</v>
      </c>
      <c r="D11" s="210" t="s">
        <v>27</v>
      </c>
      <c r="E11" s="210" t="s">
        <v>28</v>
      </c>
      <c r="F11" s="210" t="s">
        <v>29</v>
      </c>
      <c r="G11" s="211" t="s">
        <v>28</v>
      </c>
      <c r="H11" s="210" t="s">
        <v>29</v>
      </c>
      <c r="I11" s="196"/>
      <c r="K11" s="195"/>
      <c r="L11" s="212" t="s">
        <v>27</v>
      </c>
      <c r="M11" s="213"/>
      <c r="N11" s="212" t="s">
        <v>28</v>
      </c>
      <c r="O11" s="213"/>
      <c r="P11" s="212" t="s">
        <v>29</v>
      </c>
      <c r="Q11" s="214"/>
      <c r="R11" s="195"/>
      <c r="S11" s="212" t="s">
        <v>27</v>
      </c>
      <c r="T11" s="213"/>
      <c r="U11" s="212" t="s">
        <v>28</v>
      </c>
      <c r="V11" s="213"/>
      <c r="W11" s="212" t="s">
        <v>29</v>
      </c>
      <c r="X11" s="214"/>
      <c r="Y11" s="195"/>
      <c r="Z11" s="212" t="s">
        <v>27</v>
      </c>
      <c r="AA11" s="213"/>
      <c r="AB11" s="212" t="s">
        <v>28</v>
      </c>
      <c r="AC11" s="213"/>
      <c r="AD11" s="212" t="s">
        <v>29</v>
      </c>
      <c r="AE11" s="214"/>
      <c r="AL11" s="27"/>
      <c r="AM11" s="26">
        <v>485</v>
      </c>
      <c r="AN11" s="26">
        <v>572</v>
      </c>
      <c r="AO11" s="26">
        <v>4918</v>
      </c>
      <c r="AP11" s="26">
        <v>6345</v>
      </c>
      <c r="AQ11" s="26">
        <v>5648</v>
      </c>
      <c r="AR11" s="26"/>
      <c r="AS11" s="26">
        <v>2904</v>
      </c>
      <c r="AT11" s="26">
        <v>2856</v>
      </c>
      <c r="AU11" s="200"/>
    </row>
    <row r="12" spans="2:47" x14ac:dyDescent="0.25">
      <c r="B12" s="195"/>
      <c r="C12" s="209" t="s">
        <v>5</v>
      </c>
      <c r="D12" s="209" t="s">
        <v>30</v>
      </c>
      <c r="E12" s="209" t="s">
        <v>31</v>
      </c>
      <c r="F12" s="209" t="s">
        <v>32</v>
      </c>
      <c r="G12" s="215" t="s">
        <v>31</v>
      </c>
      <c r="H12" s="209" t="s">
        <v>32</v>
      </c>
      <c r="I12" s="196"/>
      <c r="K12" s="195"/>
      <c r="L12" s="216" t="s">
        <v>224</v>
      </c>
      <c r="M12" s="213"/>
      <c r="N12" s="216" t="s">
        <v>31</v>
      </c>
      <c r="O12" s="213"/>
      <c r="P12" s="216" t="s">
        <v>32</v>
      </c>
      <c r="Q12" s="214"/>
      <c r="R12" s="195"/>
      <c r="S12" s="216" t="s">
        <v>224</v>
      </c>
      <c r="T12" s="213"/>
      <c r="U12" s="216" t="s">
        <v>31</v>
      </c>
      <c r="V12" s="213"/>
      <c r="W12" s="216" t="s">
        <v>32</v>
      </c>
      <c r="X12" s="214"/>
      <c r="Y12" s="195"/>
      <c r="Z12" s="216" t="s">
        <v>224</v>
      </c>
      <c r="AA12" s="213"/>
      <c r="AB12" s="216" t="s">
        <v>31</v>
      </c>
      <c r="AC12" s="213"/>
      <c r="AD12" s="216" t="s">
        <v>32</v>
      </c>
      <c r="AE12" s="214"/>
      <c r="AL12" s="27"/>
      <c r="AM12" s="26">
        <v>7746</v>
      </c>
      <c r="AN12" s="26"/>
      <c r="AO12" s="26">
        <v>17425</v>
      </c>
      <c r="AP12" s="26">
        <v>22654</v>
      </c>
      <c r="AQ12" s="26">
        <v>9422</v>
      </c>
      <c r="AR12" s="26"/>
      <c r="AS12" s="26"/>
      <c r="AT12" s="26"/>
      <c r="AU12" s="200"/>
    </row>
    <row r="13" spans="2:47" x14ac:dyDescent="0.25">
      <c r="B13" s="195"/>
      <c r="C13" s="217">
        <v>16</v>
      </c>
      <c r="D13" s="26">
        <v>1336</v>
      </c>
      <c r="E13" s="29">
        <f>D13/5280</f>
        <v>0.25303030303030305</v>
      </c>
      <c r="F13" s="30">
        <f>C13*E13</f>
        <v>4.0484848484848488</v>
      </c>
      <c r="G13" s="218">
        <f>N13</f>
        <v>0</v>
      </c>
      <c r="H13" s="30">
        <f>C13*G13</f>
        <v>0</v>
      </c>
      <c r="I13" s="196"/>
      <c r="K13" s="195"/>
      <c r="L13" s="219">
        <v>0</v>
      </c>
      <c r="N13" s="29">
        <f>ROUND(L13/5280,2)</f>
        <v>0</v>
      </c>
      <c r="O13" s="29"/>
      <c r="P13" s="30">
        <f>ROUND($C13*N13,2)</f>
        <v>0</v>
      </c>
      <c r="Q13" s="220"/>
      <c r="R13" s="195"/>
      <c r="S13" s="219">
        <v>1136</v>
      </c>
      <c r="U13" s="29">
        <f>ROUND(S13/5280,2)</f>
        <v>0.22</v>
      </c>
      <c r="V13" s="29"/>
      <c r="W13" s="30">
        <f>ROUND($C13*U13,2)</f>
        <v>3.52</v>
      </c>
      <c r="X13" s="220"/>
      <c r="Y13" s="195"/>
      <c r="Z13" s="219">
        <f>SUM(L13,S13)</f>
        <v>1136</v>
      </c>
      <c r="AB13" s="29">
        <f>ROUND(Z13/5280,2)</f>
        <v>0.22</v>
      </c>
      <c r="AC13" s="29"/>
      <c r="AD13" s="30">
        <f>ROUND($C13*AB13,2)</f>
        <v>3.52</v>
      </c>
      <c r="AE13" s="220"/>
      <c r="AF13" s="30"/>
      <c r="AG13" s="30"/>
      <c r="AH13" s="30"/>
      <c r="AI13" s="30"/>
      <c r="AJ13" s="30"/>
      <c r="AK13" s="30"/>
      <c r="AL13" s="27"/>
      <c r="AM13" s="26">
        <v>160</v>
      </c>
      <c r="AN13" s="26"/>
      <c r="AO13" s="26">
        <v>846</v>
      </c>
      <c r="AP13" s="26">
        <v>362</v>
      </c>
      <c r="AQ13" s="26">
        <v>3676</v>
      </c>
      <c r="AR13" s="26"/>
      <c r="AS13" s="26"/>
      <c r="AT13" s="26"/>
      <c r="AU13" s="200"/>
    </row>
    <row r="14" spans="2:47" x14ac:dyDescent="0.25">
      <c r="B14" s="195"/>
      <c r="C14" s="217">
        <v>12</v>
      </c>
      <c r="D14" s="26">
        <v>6488</v>
      </c>
      <c r="E14" s="29">
        <f t="shared" ref="E14:E20" si="0">D14/5280</f>
        <v>1.2287878787878788</v>
      </c>
      <c r="F14" s="30">
        <f t="shared" ref="F14:F20" si="1">C14*E14</f>
        <v>14.745454545454546</v>
      </c>
      <c r="G14" s="218">
        <f t="shared" ref="G14:G20" si="2">N14</f>
        <v>1.04</v>
      </c>
      <c r="H14" s="30">
        <f t="shared" ref="H14:H20" si="3">C14*G14</f>
        <v>12.48</v>
      </c>
      <c r="I14" s="196"/>
      <c r="K14" s="195"/>
      <c r="L14" s="219">
        <v>5502</v>
      </c>
      <c r="N14" s="29">
        <f t="shared" ref="N14:N20" si="4">ROUND(L14/5280,2)</f>
        <v>1.04</v>
      </c>
      <c r="O14" s="29"/>
      <c r="P14" s="30">
        <f>ROUND($C14*N14,2)</f>
        <v>12.48</v>
      </c>
      <c r="Q14" s="220"/>
      <c r="R14" s="195"/>
      <c r="S14" s="219">
        <v>2679</v>
      </c>
      <c r="U14" s="29">
        <f t="shared" ref="U14:U20" si="5">ROUND(S14/5280,2)</f>
        <v>0.51</v>
      </c>
      <c r="V14" s="29"/>
      <c r="W14" s="30">
        <f>ROUND($C14*U14,2)</f>
        <v>6.12</v>
      </c>
      <c r="X14" s="220"/>
      <c r="Y14" s="195"/>
      <c r="Z14" s="219">
        <f t="shared" ref="Z14:Z20" si="6">SUM(L14,S14)</f>
        <v>8181</v>
      </c>
      <c r="AB14" s="29">
        <f t="shared" ref="AB14:AB20" si="7">ROUND(Z14/5280,2)</f>
        <v>1.55</v>
      </c>
      <c r="AC14" s="29"/>
      <c r="AD14" s="30">
        <f>ROUND($C14*AB14,2)</f>
        <v>18.600000000000001</v>
      </c>
      <c r="AE14" s="220"/>
      <c r="AF14" s="30"/>
      <c r="AG14" s="30"/>
      <c r="AH14" s="30"/>
      <c r="AI14" s="30"/>
      <c r="AJ14" s="30"/>
      <c r="AK14" s="30"/>
      <c r="AL14" s="27"/>
      <c r="AM14" s="26">
        <v>2796</v>
      </c>
      <c r="AN14" s="26"/>
      <c r="AO14" s="26">
        <v>826</v>
      </c>
      <c r="AP14" s="26">
        <v>1151</v>
      </c>
      <c r="AQ14" s="26">
        <v>11650</v>
      </c>
      <c r="AR14" s="26"/>
      <c r="AS14" s="26"/>
      <c r="AT14" s="26"/>
      <c r="AU14" s="200"/>
    </row>
    <row r="15" spans="2:47" x14ac:dyDescent="0.25">
      <c r="B15" s="195"/>
      <c r="C15" s="217">
        <v>10</v>
      </c>
      <c r="D15" s="26">
        <v>0</v>
      </c>
      <c r="E15" s="29">
        <f t="shared" si="0"/>
        <v>0</v>
      </c>
      <c r="F15" s="30">
        <f t="shared" si="1"/>
        <v>0</v>
      </c>
      <c r="G15" s="218">
        <f t="shared" si="2"/>
        <v>0</v>
      </c>
      <c r="H15" s="30">
        <f t="shared" si="3"/>
        <v>0</v>
      </c>
      <c r="I15" s="196"/>
      <c r="K15" s="195"/>
      <c r="L15" s="219">
        <v>0</v>
      </c>
      <c r="N15" s="29">
        <f t="shared" si="4"/>
        <v>0</v>
      </c>
      <c r="O15" s="29"/>
      <c r="P15" s="30">
        <f t="shared" ref="P15:P20" si="8">ROUND($C15*N15,2)</f>
        <v>0</v>
      </c>
      <c r="Q15" s="220"/>
      <c r="R15" s="195"/>
      <c r="S15" s="219">
        <v>0</v>
      </c>
      <c r="U15" s="29">
        <f t="shared" si="5"/>
        <v>0</v>
      </c>
      <c r="V15" s="29"/>
      <c r="W15" s="30">
        <f t="shared" ref="W15:W20" si="9">ROUND($C15*U15,2)</f>
        <v>0</v>
      </c>
      <c r="X15" s="220"/>
      <c r="Y15" s="195"/>
      <c r="Z15" s="219">
        <f t="shared" si="6"/>
        <v>0</v>
      </c>
      <c r="AB15" s="29">
        <f t="shared" si="7"/>
        <v>0</v>
      </c>
      <c r="AC15" s="29"/>
      <c r="AD15" s="30">
        <f t="shared" ref="AD15:AD20" si="10">ROUND($C15*AB15,2)</f>
        <v>0</v>
      </c>
      <c r="AE15" s="220"/>
      <c r="AF15" s="30"/>
      <c r="AG15" s="30"/>
      <c r="AH15" s="30"/>
      <c r="AI15" s="30"/>
      <c r="AJ15" s="30"/>
      <c r="AK15" s="30"/>
      <c r="AL15" s="27"/>
      <c r="AM15" s="26">
        <v>281</v>
      </c>
      <c r="AN15" s="26"/>
      <c r="AO15" s="26">
        <v>4103</v>
      </c>
      <c r="AP15" s="26">
        <v>345</v>
      </c>
      <c r="AQ15" s="26">
        <v>138</v>
      </c>
      <c r="AR15" s="26"/>
      <c r="AS15" s="26"/>
      <c r="AT15" s="26"/>
      <c r="AU15" s="27"/>
    </row>
    <row r="16" spans="2:47" x14ac:dyDescent="0.25">
      <c r="B16" s="195"/>
      <c r="C16" s="217">
        <v>8</v>
      </c>
      <c r="D16" s="26">
        <v>28318</v>
      </c>
      <c r="E16" s="29">
        <f t="shared" si="0"/>
        <v>5.3632575757575758</v>
      </c>
      <c r="F16" s="30">
        <f t="shared" si="1"/>
        <v>42.906060606060606</v>
      </c>
      <c r="G16" s="218">
        <f t="shared" si="2"/>
        <v>0.85</v>
      </c>
      <c r="H16" s="30">
        <f t="shared" si="3"/>
        <v>6.8</v>
      </c>
      <c r="I16" s="196"/>
      <c r="K16" s="195"/>
      <c r="L16" s="219">
        <v>4492</v>
      </c>
      <c r="N16" s="29">
        <f t="shared" si="4"/>
        <v>0.85</v>
      </c>
      <c r="O16" s="29"/>
      <c r="P16" s="30">
        <f t="shared" si="8"/>
        <v>6.8</v>
      </c>
      <c r="Q16" s="220"/>
      <c r="R16" s="195"/>
      <c r="S16" s="219">
        <v>10596</v>
      </c>
      <c r="U16" s="29">
        <f t="shared" si="5"/>
        <v>2.0099999999999998</v>
      </c>
      <c r="V16" s="29"/>
      <c r="W16" s="30">
        <f t="shared" si="9"/>
        <v>16.079999999999998</v>
      </c>
      <c r="X16" s="220"/>
      <c r="Y16" s="195"/>
      <c r="Z16" s="219">
        <f t="shared" si="6"/>
        <v>15088</v>
      </c>
      <c r="AB16" s="29">
        <f t="shared" si="7"/>
        <v>2.86</v>
      </c>
      <c r="AC16" s="29"/>
      <c r="AD16" s="30">
        <f t="shared" si="10"/>
        <v>22.88</v>
      </c>
      <c r="AE16" s="220"/>
      <c r="AF16" s="30"/>
      <c r="AG16" s="30"/>
      <c r="AH16" s="30"/>
      <c r="AI16" s="30"/>
      <c r="AJ16" s="30"/>
      <c r="AK16" s="30"/>
      <c r="AL16" s="27"/>
      <c r="AM16" s="26"/>
      <c r="AN16" s="26"/>
      <c r="AO16" s="26">
        <v>624</v>
      </c>
      <c r="AP16" s="26">
        <v>1852</v>
      </c>
      <c r="AQ16" s="26">
        <v>7887</v>
      </c>
      <c r="AR16" s="26"/>
      <c r="AS16" s="26"/>
      <c r="AT16" s="26"/>
      <c r="AU16" s="27"/>
    </row>
    <row r="17" spans="2:47" x14ac:dyDescent="0.25">
      <c r="B17" s="195"/>
      <c r="C17" s="217">
        <v>6</v>
      </c>
      <c r="D17" s="28">
        <v>29522</v>
      </c>
      <c r="E17" s="29">
        <f t="shared" si="0"/>
        <v>5.5912878787878784</v>
      </c>
      <c r="F17" s="30">
        <f t="shared" si="1"/>
        <v>33.547727272727272</v>
      </c>
      <c r="G17" s="218">
        <f t="shared" si="2"/>
        <v>1.26</v>
      </c>
      <c r="H17" s="30">
        <f t="shared" si="3"/>
        <v>7.5600000000000005</v>
      </c>
      <c r="I17" s="196"/>
      <c r="K17" s="195"/>
      <c r="L17" s="219">
        <v>6653</v>
      </c>
      <c r="N17" s="29">
        <f t="shared" si="4"/>
        <v>1.26</v>
      </c>
      <c r="O17" s="29"/>
      <c r="P17" s="30">
        <f t="shared" si="8"/>
        <v>7.56</v>
      </c>
      <c r="Q17" s="220"/>
      <c r="R17" s="195"/>
      <c r="S17" s="219">
        <v>0</v>
      </c>
      <c r="U17" s="29">
        <f t="shared" si="5"/>
        <v>0</v>
      </c>
      <c r="V17" s="29"/>
      <c r="W17" s="30">
        <f t="shared" si="9"/>
        <v>0</v>
      </c>
      <c r="X17" s="220"/>
      <c r="Y17" s="195"/>
      <c r="Z17" s="219">
        <f t="shared" si="6"/>
        <v>6653</v>
      </c>
      <c r="AB17" s="29">
        <f t="shared" si="7"/>
        <v>1.26</v>
      </c>
      <c r="AC17" s="29"/>
      <c r="AD17" s="30">
        <f t="shared" si="10"/>
        <v>7.56</v>
      </c>
      <c r="AE17" s="220"/>
      <c r="AF17" s="30"/>
      <c r="AG17" s="30"/>
      <c r="AH17" s="30"/>
      <c r="AI17" s="30"/>
      <c r="AJ17" s="30"/>
      <c r="AK17" s="30"/>
      <c r="AL17" s="27"/>
      <c r="AM17" s="26"/>
      <c r="AN17" s="26"/>
      <c r="AO17" s="26"/>
      <c r="AP17" s="26"/>
      <c r="AQ17" s="26"/>
      <c r="AR17" s="26"/>
      <c r="AS17" s="26"/>
      <c r="AT17" s="26"/>
      <c r="AU17" s="27"/>
    </row>
    <row r="18" spans="2:47" x14ac:dyDescent="0.25">
      <c r="B18" s="195"/>
      <c r="C18" s="217">
        <v>4</v>
      </c>
      <c r="D18" s="28">
        <v>30476</v>
      </c>
      <c r="E18" s="29">
        <f t="shared" si="0"/>
        <v>5.7719696969696965</v>
      </c>
      <c r="F18" s="30">
        <f t="shared" si="1"/>
        <v>23.087878787878786</v>
      </c>
      <c r="G18" s="218">
        <f t="shared" si="2"/>
        <v>0.93</v>
      </c>
      <c r="H18" s="30">
        <f t="shared" si="3"/>
        <v>3.72</v>
      </c>
      <c r="I18" s="196"/>
      <c r="K18" s="195"/>
      <c r="L18" s="219">
        <v>4905</v>
      </c>
      <c r="N18" s="29">
        <f t="shared" si="4"/>
        <v>0.93</v>
      </c>
      <c r="O18" s="29"/>
      <c r="P18" s="30">
        <f t="shared" si="8"/>
        <v>3.72</v>
      </c>
      <c r="Q18" s="220"/>
      <c r="R18" s="195"/>
      <c r="S18" s="219">
        <v>0</v>
      </c>
      <c r="U18" s="29">
        <f t="shared" si="5"/>
        <v>0</v>
      </c>
      <c r="V18" s="29"/>
      <c r="W18" s="30">
        <f t="shared" si="9"/>
        <v>0</v>
      </c>
      <c r="X18" s="220"/>
      <c r="Y18" s="195"/>
      <c r="Z18" s="219">
        <f t="shared" si="6"/>
        <v>4905</v>
      </c>
      <c r="AB18" s="29">
        <f t="shared" si="7"/>
        <v>0.93</v>
      </c>
      <c r="AC18" s="29"/>
      <c r="AD18" s="30">
        <f t="shared" si="10"/>
        <v>3.72</v>
      </c>
      <c r="AE18" s="220"/>
      <c r="AF18" s="30"/>
      <c r="AG18" s="30"/>
      <c r="AH18" s="30"/>
      <c r="AI18" s="30"/>
      <c r="AJ18" s="30"/>
      <c r="AK18" s="30"/>
      <c r="AL18" s="27" t="s">
        <v>121</v>
      </c>
      <c r="AM18" s="26">
        <f>SUM(AM11:AM17)</f>
        <v>11468</v>
      </c>
      <c r="AN18" s="26">
        <f t="shared" ref="AN18:AT18" si="11">SUM(AN11:AN17)</f>
        <v>572</v>
      </c>
      <c r="AO18" s="26">
        <f t="shared" si="11"/>
        <v>28742</v>
      </c>
      <c r="AP18" s="26">
        <f t="shared" si="11"/>
        <v>32709</v>
      </c>
      <c r="AQ18" s="26">
        <f t="shared" si="11"/>
        <v>38421</v>
      </c>
      <c r="AR18" s="26">
        <f t="shared" si="11"/>
        <v>0</v>
      </c>
      <c r="AS18" s="26">
        <f t="shared" si="11"/>
        <v>2904</v>
      </c>
      <c r="AT18" s="26">
        <f t="shared" si="11"/>
        <v>2856</v>
      </c>
      <c r="AU18" s="221">
        <f>SUM(AM18:AT18)</f>
        <v>117672</v>
      </c>
    </row>
    <row r="19" spans="2:47" x14ac:dyDescent="0.25">
      <c r="B19" s="195"/>
      <c r="C19" s="217">
        <v>2</v>
      </c>
      <c r="D19" s="28">
        <v>7692</v>
      </c>
      <c r="E19" s="29">
        <f t="shared" si="0"/>
        <v>1.4568181818181818</v>
      </c>
      <c r="F19" s="30">
        <f t="shared" si="1"/>
        <v>2.9136363636363636</v>
      </c>
      <c r="G19" s="218">
        <f t="shared" si="2"/>
        <v>0</v>
      </c>
      <c r="H19" s="30">
        <f t="shared" si="3"/>
        <v>0</v>
      </c>
      <c r="I19" s="196"/>
      <c r="K19" s="195"/>
      <c r="L19" s="219">
        <v>0</v>
      </c>
      <c r="N19" s="29">
        <f t="shared" si="4"/>
        <v>0</v>
      </c>
      <c r="O19" s="29"/>
      <c r="P19" s="30">
        <f t="shared" si="8"/>
        <v>0</v>
      </c>
      <c r="Q19" s="220"/>
      <c r="R19" s="195"/>
      <c r="S19" s="219">
        <v>0</v>
      </c>
      <c r="U19" s="29">
        <f t="shared" si="5"/>
        <v>0</v>
      </c>
      <c r="V19" s="29"/>
      <c r="W19" s="30">
        <f t="shared" si="9"/>
        <v>0</v>
      </c>
      <c r="X19" s="220"/>
      <c r="Y19" s="195"/>
      <c r="Z19" s="219">
        <f t="shared" si="6"/>
        <v>0</v>
      </c>
      <c r="AB19" s="29">
        <f t="shared" si="7"/>
        <v>0</v>
      </c>
      <c r="AC19" s="29"/>
      <c r="AD19" s="30">
        <f t="shared" si="10"/>
        <v>0</v>
      </c>
      <c r="AE19" s="220"/>
      <c r="AF19" s="30"/>
      <c r="AG19" s="30"/>
      <c r="AH19" s="30"/>
      <c r="AI19" s="30"/>
      <c r="AJ19" s="30"/>
      <c r="AK19" s="30"/>
      <c r="AL19" s="27" t="s">
        <v>76</v>
      </c>
      <c r="AM19" s="27">
        <f t="shared" ref="AM19:AN19" si="12">AM18/5280</f>
        <v>2.1719696969696969</v>
      </c>
      <c r="AN19" s="27">
        <f t="shared" si="12"/>
        <v>0.10833333333333334</v>
      </c>
      <c r="AO19" s="27">
        <f>AO18/5280</f>
        <v>5.4435606060606059</v>
      </c>
      <c r="AP19" s="27">
        <f t="shared" ref="AP19:AT19" si="13">AP18/5280</f>
        <v>6.194886363636364</v>
      </c>
      <c r="AQ19" s="27">
        <f t="shared" si="13"/>
        <v>7.2767045454545451</v>
      </c>
      <c r="AR19" s="27">
        <f t="shared" si="13"/>
        <v>0</v>
      </c>
      <c r="AS19" s="27">
        <f t="shared" si="13"/>
        <v>0.55000000000000004</v>
      </c>
      <c r="AT19" s="27">
        <f t="shared" si="13"/>
        <v>0.54090909090909089</v>
      </c>
      <c r="AU19" s="27">
        <f>SUM(AM19:AT19)</f>
        <v>22.286363636363635</v>
      </c>
    </row>
    <row r="20" spans="2:47" x14ac:dyDescent="0.25">
      <c r="B20" s="195"/>
      <c r="C20" s="217">
        <v>1</v>
      </c>
      <c r="D20" s="222">
        <v>1697</v>
      </c>
      <c r="E20" s="223">
        <f t="shared" si="0"/>
        <v>0.32140151515151516</v>
      </c>
      <c r="F20" s="224">
        <f t="shared" si="1"/>
        <v>0.32140151515151516</v>
      </c>
      <c r="G20" s="225">
        <f t="shared" si="2"/>
        <v>0</v>
      </c>
      <c r="H20" s="226">
        <f t="shared" si="3"/>
        <v>0</v>
      </c>
      <c r="I20" s="227"/>
      <c r="K20" s="195"/>
      <c r="L20" s="228">
        <v>0</v>
      </c>
      <c r="N20" s="223">
        <f t="shared" si="4"/>
        <v>0</v>
      </c>
      <c r="O20" s="29"/>
      <c r="P20" s="226">
        <f t="shared" si="8"/>
        <v>0</v>
      </c>
      <c r="Q20" s="220"/>
      <c r="R20" s="195"/>
      <c r="S20" s="228">
        <v>0</v>
      </c>
      <c r="U20" s="223">
        <f t="shared" si="5"/>
        <v>0</v>
      </c>
      <c r="V20" s="29"/>
      <c r="W20" s="226">
        <f t="shared" si="9"/>
        <v>0</v>
      </c>
      <c r="X20" s="220"/>
      <c r="Y20" s="195"/>
      <c r="Z20" s="228">
        <f t="shared" si="6"/>
        <v>0</v>
      </c>
      <c r="AB20" s="223">
        <f t="shared" si="7"/>
        <v>0</v>
      </c>
      <c r="AC20" s="29"/>
      <c r="AD20" s="226">
        <f t="shared" si="10"/>
        <v>0</v>
      </c>
      <c r="AE20" s="220"/>
      <c r="AF20" s="30"/>
      <c r="AG20" s="30"/>
      <c r="AH20" s="30"/>
      <c r="AI20" s="30"/>
      <c r="AJ20" s="30"/>
      <c r="AK20" s="30"/>
      <c r="AL20" s="27"/>
      <c r="AM20" s="26"/>
      <c r="AN20" s="26"/>
      <c r="AO20" s="26"/>
      <c r="AP20" s="26"/>
      <c r="AQ20" s="26"/>
      <c r="AR20" s="26"/>
      <c r="AS20" s="26"/>
      <c r="AT20" s="26"/>
      <c r="AU20" s="27"/>
    </row>
    <row r="21" spans="2:47" x14ac:dyDescent="0.25">
      <c r="B21" s="195"/>
      <c r="C21" s="217" t="s">
        <v>4</v>
      </c>
      <c r="D21" s="28">
        <f>SUM(D13:D20)</f>
        <v>105529</v>
      </c>
      <c r="E21" s="29">
        <f>SUM(E13:E20)</f>
        <v>19.986553030303032</v>
      </c>
      <c r="F21" s="29">
        <f>SUM(F13:F20)</f>
        <v>121.57064393939395</v>
      </c>
      <c r="G21" s="29">
        <f>SUM(G13:G20)</f>
        <v>4.08</v>
      </c>
      <c r="H21" s="29">
        <f>SUM(H13:H20)</f>
        <v>30.560000000000002</v>
      </c>
      <c r="I21" s="196"/>
      <c r="K21" s="229"/>
      <c r="L21" s="228">
        <f>SUM(L13:L20)</f>
        <v>21552</v>
      </c>
      <c r="M21" s="230"/>
      <c r="N21" s="230">
        <f t="shared" ref="N21:P21" si="14">SUM(N13:N20)</f>
        <v>4.08</v>
      </c>
      <c r="O21" s="230"/>
      <c r="P21" s="230">
        <f t="shared" si="14"/>
        <v>30.56</v>
      </c>
      <c r="Q21" s="227"/>
      <c r="R21" s="229"/>
      <c r="S21" s="228">
        <f>SUM(S13:S20)</f>
        <v>14411</v>
      </c>
      <c r="T21" s="230"/>
      <c r="U21" s="230">
        <f t="shared" ref="U21" si="15">SUM(U13:U20)</f>
        <v>2.7399999999999998</v>
      </c>
      <c r="V21" s="230"/>
      <c r="W21" s="230">
        <f t="shared" ref="W21" si="16">SUM(W13:W20)</f>
        <v>25.72</v>
      </c>
      <c r="X21" s="227"/>
      <c r="Y21" s="229"/>
      <c r="Z21" s="228">
        <f>SUM(Z13:Z20)</f>
        <v>35963</v>
      </c>
      <c r="AA21" s="230"/>
      <c r="AB21" s="230">
        <f t="shared" ref="AB21" si="17">SUM(AB13:AB20)</f>
        <v>6.8199999999999994</v>
      </c>
      <c r="AC21" s="230"/>
      <c r="AD21" s="230">
        <f t="shared" ref="AD21" si="18">SUM(AD13:AD20)</f>
        <v>56.28</v>
      </c>
      <c r="AE21" s="227"/>
      <c r="AL21" s="27"/>
      <c r="AM21" s="346" t="s">
        <v>354</v>
      </c>
      <c r="AN21" s="346"/>
      <c r="AO21" s="346"/>
      <c r="AP21" s="346"/>
      <c r="AQ21" s="346"/>
      <c r="AR21" s="346"/>
      <c r="AS21" s="346"/>
      <c r="AT21" s="346"/>
      <c r="AU21" s="27"/>
    </row>
    <row r="22" spans="2:47" x14ac:dyDescent="0.25">
      <c r="B22" s="195"/>
      <c r="C22" s="200"/>
      <c r="D22" s="200"/>
      <c r="E22" s="200"/>
      <c r="F22" s="200"/>
      <c r="G22" s="200"/>
      <c r="H22" s="200"/>
      <c r="I22" s="196"/>
      <c r="AL22" s="27"/>
      <c r="AM22" s="27" t="e">
        <f>#REF!</f>
        <v>#REF!</v>
      </c>
      <c r="AN22" s="27" t="e">
        <f>#REF!</f>
        <v>#REF!</v>
      </c>
      <c r="AO22" s="27" t="e">
        <f>#REF!</f>
        <v>#REF!</v>
      </c>
      <c r="AP22" s="27" t="e">
        <f>#REF!</f>
        <v>#REF!</v>
      </c>
      <c r="AQ22" s="27" t="e">
        <f>#REF!</f>
        <v>#REF!</v>
      </c>
      <c r="AR22" s="27" t="e">
        <f>#REF!</f>
        <v>#REF!</v>
      </c>
      <c r="AS22" s="27" t="e">
        <f>#REF!</f>
        <v>#REF!</v>
      </c>
      <c r="AT22" s="27" t="e">
        <f>#REF!</f>
        <v>#REF!</v>
      </c>
      <c r="AU22" s="27" t="e">
        <f>SUM(AM22:AT22)</f>
        <v>#REF!</v>
      </c>
    </row>
    <row r="23" spans="2:47" x14ac:dyDescent="0.25">
      <c r="B23" s="195"/>
      <c r="C23" s="200"/>
      <c r="D23" s="200"/>
      <c r="E23" s="200"/>
      <c r="F23" s="200"/>
      <c r="G23" s="200"/>
      <c r="H23" s="200"/>
      <c r="I23" s="196"/>
      <c r="AL23" s="27"/>
      <c r="AM23" s="26"/>
      <c r="AN23" s="26"/>
      <c r="AO23" s="26"/>
      <c r="AP23" s="26"/>
      <c r="AQ23" s="26"/>
      <c r="AR23" s="26"/>
      <c r="AS23" s="26"/>
      <c r="AT23" s="26"/>
      <c r="AU23" s="27"/>
    </row>
    <row r="24" spans="2:47" x14ac:dyDescent="0.25">
      <c r="B24" s="195"/>
      <c r="C24" s="200"/>
      <c r="D24" s="200"/>
      <c r="E24" s="200"/>
      <c r="F24" s="200"/>
      <c r="G24" s="200"/>
      <c r="H24" s="200"/>
      <c r="I24" s="196"/>
      <c r="AL24" s="27"/>
      <c r="AM24" s="231">
        <v>2</v>
      </c>
      <c r="AN24" s="231">
        <v>3</v>
      </c>
      <c r="AO24" s="231">
        <v>4</v>
      </c>
      <c r="AP24" s="231">
        <v>6</v>
      </c>
      <c r="AQ24" s="231">
        <v>8</v>
      </c>
      <c r="AR24" s="231">
        <v>10</v>
      </c>
      <c r="AS24" s="231">
        <v>12</v>
      </c>
      <c r="AT24" s="231">
        <v>16</v>
      </c>
      <c r="AU24" s="232" t="s">
        <v>355</v>
      </c>
    </row>
    <row r="25" spans="2:47" x14ac:dyDescent="0.25">
      <c r="B25" s="195"/>
      <c r="C25" s="200"/>
      <c r="D25" s="201" t="s">
        <v>33</v>
      </c>
      <c r="E25" s="201"/>
      <c r="F25" s="201"/>
      <c r="G25" s="201"/>
      <c r="H25" s="200"/>
      <c r="I25" s="196"/>
      <c r="AL25" s="27" t="s">
        <v>343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4" t="e">
        <f>SUM(AM25:AT25)</f>
        <v>#REF!</v>
      </c>
    </row>
    <row r="26" spans="2:47" ht="6.95" customHeight="1" x14ac:dyDescent="0.25">
      <c r="B26" s="195"/>
      <c r="C26" s="200"/>
      <c r="D26" s="205"/>
      <c r="E26" s="205"/>
      <c r="F26" s="205"/>
      <c r="G26" s="205"/>
      <c r="H26" s="200"/>
      <c r="I26" s="196"/>
      <c r="AL26" s="27"/>
      <c r="AM26" s="26"/>
      <c r="AN26" s="26"/>
      <c r="AO26" s="26"/>
      <c r="AP26" s="26"/>
      <c r="AQ26" s="26"/>
      <c r="AR26" s="26"/>
      <c r="AS26" s="26"/>
      <c r="AT26" s="27"/>
      <c r="AU26" s="234"/>
    </row>
    <row r="27" spans="2:47" x14ac:dyDescent="0.25">
      <c r="B27" s="195"/>
      <c r="C27" s="200"/>
      <c r="D27" s="200"/>
      <c r="E27" s="200"/>
      <c r="F27" s="209" t="s">
        <v>34</v>
      </c>
      <c r="G27" s="209"/>
      <c r="H27" s="200"/>
      <c r="I27" s="196"/>
      <c r="AL27" s="194" t="s">
        <v>344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4" t="e">
        <f>SUM(AM27:AT27)</f>
        <v>#REF!</v>
      </c>
    </row>
    <row r="28" spans="2:47" ht="16.5" thickBot="1" x14ac:dyDescent="0.3">
      <c r="B28" s="195"/>
      <c r="C28" s="200"/>
      <c r="D28" s="200"/>
      <c r="E28" s="200"/>
      <c r="F28" s="209" t="s">
        <v>35</v>
      </c>
      <c r="G28" s="209" t="s">
        <v>6</v>
      </c>
      <c r="H28" s="200"/>
      <c r="I28" s="196"/>
      <c r="AL28" s="194" t="s">
        <v>10</v>
      </c>
      <c r="AM28" s="235" t="e">
        <f>SUM(AM25:AM27)</f>
        <v>#REF!</v>
      </c>
      <c r="AN28" s="235" t="e">
        <f t="shared" ref="AN28:AO28" si="19">SUM(AN25:AN27)</f>
        <v>#REF!</v>
      </c>
      <c r="AO28" s="235" t="e">
        <f t="shared" si="19"/>
        <v>#REF!</v>
      </c>
      <c r="AP28" s="235" t="e">
        <f>SUM(AP25:AP27)</f>
        <v>#REF!</v>
      </c>
      <c r="AQ28" s="235" t="e">
        <f>SUM(AQ25:AQ27)</f>
        <v>#REF!</v>
      </c>
      <c r="AR28" s="235" t="e">
        <f>SUM(AR25:AR27)</f>
        <v>#REF!</v>
      </c>
      <c r="AS28" s="235" t="e">
        <f>SUM(AS25:AS27)</f>
        <v>#REF!</v>
      </c>
      <c r="AT28" s="235" t="e">
        <f>SUM(AT25:AT27)</f>
        <v>#REF!</v>
      </c>
      <c r="AU28" s="235" t="e">
        <f>SUM(AM28:AT28)</f>
        <v>#REF!</v>
      </c>
    </row>
    <row r="29" spans="2:47" ht="16.5" thickTop="1" x14ac:dyDescent="0.25">
      <c r="B29" s="195"/>
      <c r="C29" s="200"/>
      <c r="D29" s="236" t="s">
        <v>59</v>
      </c>
      <c r="E29" s="236"/>
      <c r="F29" s="237">
        <v>326664.59100000001</v>
      </c>
      <c r="G29" s="236"/>
      <c r="H29" s="200"/>
      <c r="I29" s="196"/>
      <c r="L29" t="s">
        <v>221</v>
      </c>
      <c r="N29" s="238">
        <v>107868580</v>
      </c>
      <c r="P29" s="239">
        <f>N29/1000</f>
        <v>107868.58</v>
      </c>
      <c r="AL29" s="200"/>
      <c r="AM29" s="200"/>
      <c r="AN29" s="200"/>
      <c r="AO29" s="200"/>
      <c r="AP29" s="200"/>
      <c r="AQ29" s="200"/>
      <c r="AR29" s="200"/>
      <c r="AS29" s="27"/>
    </row>
    <row r="30" spans="2:47" x14ac:dyDescent="0.25">
      <c r="B30" s="195"/>
      <c r="C30" s="200"/>
      <c r="D30" s="236" t="s">
        <v>36</v>
      </c>
      <c r="E30" s="236"/>
      <c r="F30" s="237">
        <f>AN51/1000</f>
        <v>69359.62</v>
      </c>
      <c r="G30" s="240">
        <f>F30/F32</f>
        <v>0.27862161884225173</v>
      </c>
      <c r="H30" s="200"/>
      <c r="I30" s="196"/>
      <c r="L30" t="s">
        <v>222</v>
      </c>
      <c r="N30" s="238">
        <v>71710200</v>
      </c>
      <c r="P30" s="239">
        <f>N30/1000</f>
        <v>71710.2</v>
      </c>
    </row>
    <row r="31" spans="2:47" ht="16.5" thickBot="1" x14ac:dyDescent="0.3">
      <c r="B31" s="195"/>
      <c r="C31" s="200"/>
      <c r="D31" s="236" t="s">
        <v>37</v>
      </c>
      <c r="E31" s="236"/>
      <c r="F31" s="237">
        <f>P31</f>
        <v>179578.78</v>
      </c>
      <c r="G31" s="240">
        <f>F31/F32</f>
        <v>0.72137838115774833</v>
      </c>
      <c r="H31" s="200"/>
      <c r="I31" s="196"/>
      <c r="L31" t="s">
        <v>223</v>
      </c>
      <c r="N31" s="241">
        <f>SUM(N29:N30)</f>
        <v>179578780</v>
      </c>
      <c r="P31" s="239">
        <f>SUM(P29:P30)</f>
        <v>179578.78</v>
      </c>
    </row>
    <row r="32" spans="2:47" ht="16.5" thickTop="1" x14ac:dyDescent="0.25">
      <c r="B32" s="195"/>
      <c r="C32" s="200"/>
      <c r="D32" s="236" t="s">
        <v>38</v>
      </c>
      <c r="E32" s="236"/>
      <c r="F32" s="237">
        <f>SUM(F30:F31)</f>
        <v>248938.4</v>
      </c>
      <c r="G32" s="240"/>
      <c r="H32" s="200"/>
      <c r="I32" s="196"/>
    </row>
    <row r="33" spans="2:45" x14ac:dyDescent="0.25">
      <c r="B33" s="195"/>
      <c r="C33" s="200"/>
      <c r="D33" s="236"/>
      <c r="E33" s="236"/>
      <c r="F33" s="237"/>
      <c r="G33" s="240"/>
      <c r="H33" s="200"/>
      <c r="I33" s="196"/>
    </row>
    <row r="34" spans="2:45" x14ac:dyDescent="0.25">
      <c r="B34" s="195"/>
      <c r="C34" s="200"/>
      <c r="D34" s="236" t="s">
        <v>60</v>
      </c>
      <c r="E34" s="236"/>
      <c r="F34" s="237">
        <v>7809.8280000000004</v>
      </c>
      <c r="G34" s="240">
        <f>F34/$F$29</f>
        <v>2.3907788646734596E-2</v>
      </c>
      <c r="H34" s="200"/>
      <c r="I34" s="196"/>
    </row>
    <row r="35" spans="2:45" x14ac:dyDescent="0.25">
      <c r="B35" s="195"/>
      <c r="C35" s="200"/>
      <c r="D35" s="236" t="s">
        <v>39</v>
      </c>
      <c r="E35" s="236"/>
      <c r="F35" s="237">
        <f>1160.515+12</f>
        <v>1172.5150000000001</v>
      </c>
      <c r="G35" s="240">
        <f>F35/$F$29</f>
        <v>3.5893544397041796E-3</v>
      </c>
      <c r="H35" s="200"/>
      <c r="I35" s="196"/>
    </row>
    <row r="36" spans="2:45" x14ac:dyDescent="0.25">
      <c r="B36" s="195"/>
      <c r="C36" s="200"/>
      <c r="D36" s="236" t="s">
        <v>40</v>
      </c>
      <c r="E36" s="236"/>
      <c r="F36" s="237">
        <f>F29-F32-F34-F35</f>
        <v>68743.848000000027</v>
      </c>
      <c r="G36" s="240">
        <f>F36/$F$29</f>
        <v>0.21044168818407388</v>
      </c>
      <c r="H36" s="200"/>
      <c r="I36" s="196"/>
    </row>
    <row r="37" spans="2:45" x14ac:dyDescent="0.25">
      <c r="B37" s="195"/>
      <c r="C37" s="200"/>
      <c r="D37" s="236" t="s">
        <v>382</v>
      </c>
      <c r="E37" s="236"/>
      <c r="F37" s="237"/>
      <c r="G37" s="240">
        <v>-0.15</v>
      </c>
      <c r="H37" s="200"/>
      <c r="I37" s="196"/>
    </row>
    <row r="38" spans="2:45" x14ac:dyDescent="0.25">
      <c r="B38" s="195"/>
      <c r="C38" s="200"/>
      <c r="D38" s="236" t="s">
        <v>383</v>
      </c>
      <c r="E38" s="236"/>
      <c r="F38" s="237"/>
      <c r="G38" s="240">
        <f>SUM(G36:G37)</f>
        <v>6.0441688184073888E-2</v>
      </c>
      <c r="H38" s="200"/>
      <c r="I38" s="196"/>
    </row>
    <row r="39" spans="2:45" x14ac:dyDescent="0.25">
      <c r="B39" s="229"/>
      <c r="C39" s="242"/>
      <c r="D39" s="242"/>
      <c r="E39" s="243"/>
      <c r="F39" s="242"/>
      <c r="G39" s="242"/>
      <c r="H39" s="242"/>
      <c r="I39" s="227"/>
    </row>
    <row r="40" spans="2:45" x14ac:dyDescent="0.25">
      <c r="AS40" s="200"/>
    </row>
    <row r="41" spans="2:45" x14ac:dyDescent="0.25">
      <c r="C41" s="217"/>
      <c r="D41" s="28"/>
      <c r="E41" s="29"/>
      <c r="F41" s="30"/>
      <c r="G41" s="244"/>
      <c r="H41" s="30"/>
    </row>
    <row r="42" spans="2:45" x14ac:dyDescent="0.25">
      <c r="F42" s="245"/>
    </row>
    <row r="45" spans="2:45" x14ac:dyDescent="0.25">
      <c r="AL45" t="s">
        <v>308</v>
      </c>
      <c r="AM45"/>
      <c r="AN45" s="238">
        <v>48609.120000000003</v>
      </c>
      <c r="AO45" s="246">
        <v>48609120</v>
      </c>
    </row>
    <row r="46" spans="2:45" x14ac:dyDescent="0.25">
      <c r="AL46" t="s">
        <v>309</v>
      </c>
      <c r="AM46"/>
      <c r="AN46" s="246">
        <v>15447478</v>
      </c>
      <c r="AO46" s="246">
        <v>15447478000</v>
      </c>
    </row>
    <row r="47" spans="2:45" x14ac:dyDescent="0.25">
      <c r="AL47" s="247" t="s">
        <v>38</v>
      </c>
      <c r="AM47" s="246"/>
      <c r="AN47" s="246">
        <v>15496087.119999999</v>
      </c>
      <c r="AO47" s="246">
        <v>15496087120</v>
      </c>
    </row>
    <row r="49" spans="38:42" x14ac:dyDescent="0.25">
      <c r="AN49" s="246">
        <v>333745498</v>
      </c>
    </row>
    <row r="51" spans="38:42" x14ac:dyDescent="0.25">
      <c r="AL51" t="s">
        <v>308</v>
      </c>
      <c r="AM51"/>
      <c r="AN51" s="238">
        <v>69359620</v>
      </c>
    </row>
    <row r="52" spans="38:42" x14ac:dyDescent="0.25">
      <c r="AL52" t="s">
        <v>309</v>
      </c>
      <c r="AM52"/>
      <c r="AN52"/>
    </row>
    <row r="53" spans="38:42" x14ac:dyDescent="0.25">
      <c r="AL53" t="s">
        <v>310</v>
      </c>
      <c r="AM53"/>
      <c r="AN53" s="238">
        <v>248938400</v>
      </c>
    </row>
    <row r="54" spans="38:42" x14ac:dyDescent="0.25">
      <c r="AL54" t="s">
        <v>311</v>
      </c>
      <c r="AM54"/>
      <c r="AN54" s="238">
        <v>15447478</v>
      </c>
    </row>
    <row r="55" spans="38:42" x14ac:dyDescent="0.25">
      <c r="AL55" s="248" t="s">
        <v>10</v>
      </c>
      <c r="AM55"/>
      <c r="AN55" s="249">
        <f>SUM(AN53:AN54)</f>
        <v>264385878</v>
      </c>
    </row>
    <row r="59" spans="38:42" x14ac:dyDescent="0.25">
      <c r="AN59" s="212"/>
      <c r="AO59" s="212" t="s">
        <v>341</v>
      </c>
      <c r="AP59" s="212"/>
    </row>
    <row r="60" spans="38:42" x14ac:dyDescent="0.25">
      <c r="AN60" s="250" t="s">
        <v>310</v>
      </c>
      <c r="AO60" s="216" t="s">
        <v>9</v>
      </c>
      <c r="AP60" s="216" t="s">
        <v>341</v>
      </c>
    </row>
    <row r="61" spans="38:42" x14ac:dyDescent="0.25">
      <c r="AL61" s="194" t="s">
        <v>57</v>
      </c>
      <c r="AN61" s="251">
        <v>326664.59999999998</v>
      </c>
      <c r="AO61" s="251"/>
      <c r="AP61" s="251">
        <f>SUM(AN61:AO61)</f>
        <v>326664.59999999998</v>
      </c>
    </row>
    <row r="62" spans="38:42" x14ac:dyDescent="0.25">
      <c r="AL62" s="194" t="s">
        <v>336</v>
      </c>
      <c r="AN62" s="251">
        <v>-69359.600000000006</v>
      </c>
      <c r="AO62" s="251"/>
      <c r="AP62" s="251">
        <f t="shared" ref="AP62:AP65" si="20">SUM(AN62:AO62)</f>
        <v>-69359.600000000006</v>
      </c>
    </row>
    <row r="63" spans="38:42" x14ac:dyDescent="0.25">
      <c r="AL63" s="194" t="s">
        <v>337</v>
      </c>
      <c r="AN63" s="251">
        <v>-248938.4</v>
      </c>
      <c r="AO63" s="251">
        <f>-AN54/1000</f>
        <v>-15447.477999999999</v>
      </c>
      <c r="AP63" s="251">
        <f t="shared" si="20"/>
        <v>-264385.87799999997</v>
      </c>
    </row>
    <row r="64" spans="38:42" x14ac:dyDescent="0.25">
      <c r="AL64" s="194" t="s">
        <v>338</v>
      </c>
      <c r="AN64" s="251">
        <v>-7809.8</v>
      </c>
      <c r="AO64" s="251"/>
      <c r="AP64" s="251">
        <f t="shared" si="20"/>
        <v>-7809.8</v>
      </c>
    </row>
    <row r="65" spans="38:42" x14ac:dyDescent="0.25">
      <c r="AL65" s="194" t="s">
        <v>339</v>
      </c>
      <c r="AN65" s="252">
        <v>-1172.5</v>
      </c>
      <c r="AO65" s="252"/>
      <c r="AP65" s="252">
        <f t="shared" si="20"/>
        <v>-1172.5</v>
      </c>
    </row>
    <row r="66" spans="38:42" ht="16.5" thickBot="1" x14ac:dyDescent="0.3">
      <c r="AL66" s="194" t="s">
        <v>340</v>
      </c>
      <c r="AN66" s="253">
        <f>SUM(AN61:AN65)</f>
        <v>-615.70000000002346</v>
      </c>
      <c r="AO66" s="253">
        <f t="shared" ref="AO66:AP66" si="21">SUM(AO61:AO65)</f>
        <v>-15447.477999999999</v>
      </c>
      <c r="AP66" s="253">
        <f t="shared" si="21"/>
        <v>-16063.177999999996</v>
      </c>
    </row>
    <row r="67" spans="38:42" ht="16.5" thickTop="1" x14ac:dyDescent="0.25">
      <c r="AN67" s="251"/>
      <c r="AO67" s="251"/>
      <c r="AP67" s="251"/>
    </row>
    <row r="68" spans="38:42" x14ac:dyDescent="0.25">
      <c r="AN68" s="251"/>
      <c r="AO68" s="251"/>
      <c r="AP68" s="251"/>
    </row>
    <row r="69" spans="38:42" x14ac:dyDescent="0.25">
      <c r="AL69" s="194" t="s">
        <v>342</v>
      </c>
      <c r="AO69" s="251"/>
      <c r="AP69" s="251"/>
    </row>
  </sheetData>
  <mergeCells count="6">
    <mergeCell ref="C3:H3"/>
    <mergeCell ref="AM8:AT8"/>
    <mergeCell ref="AM21:AT21"/>
    <mergeCell ref="L8:P8"/>
    <mergeCell ref="S8:W8"/>
    <mergeCell ref="Z8:AD8"/>
  </mergeCells>
  <printOptions horizontalCentered="1"/>
  <pageMargins left="0.7" right="0.7" top="1" bottom="0.75" header="0.3" footer="0.3"/>
  <pageSetup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48"/>
  <sheetViews>
    <sheetView showGridLines="0" workbookViewId="0">
      <selection sqref="A1:XFD1048576"/>
    </sheetView>
  </sheetViews>
  <sheetFormatPr defaultColWidth="8.88671875" defaultRowHeight="15.75" x14ac:dyDescent="0.25"/>
  <cols>
    <col min="1" max="1" width="3.77734375" style="296" customWidth="1"/>
    <col min="2" max="2" width="2.77734375" style="296" customWidth="1"/>
    <col min="3" max="3" width="32.5546875" style="296" customWidth="1"/>
    <col min="4" max="4" width="1.21875" style="296" customWidth="1"/>
    <col min="5" max="5" width="9.6640625" style="296" customWidth="1"/>
    <col min="6" max="6" width="2.5546875" style="296" customWidth="1"/>
    <col min="7" max="7" width="9.6640625" style="296" customWidth="1"/>
    <col min="8" max="8" width="3.6640625" style="296" customWidth="1"/>
    <col min="9" max="9" width="10.88671875" style="296" customWidth="1"/>
    <col min="10" max="10" width="2.77734375" style="296" customWidth="1"/>
    <col min="11" max="11" width="2.5546875" style="296" customWidth="1"/>
    <col min="12" max="12" width="52.5546875" style="296" customWidth="1"/>
    <col min="13" max="16384" width="8.88671875" style="296"/>
  </cols>
  <sheetData>
    <row r="1" spans="1:1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1" x14ac:dyDescent="0.35">
      <c r="A2" s="200"/>
      <c r="B2" s="297"/>
      <c r="C2" s="348"/>
      <c r="D2" s="348"/>
      <c r="E2" s="348"/>
      <c r="F2" s="348"/>
      <c r="G2" s="348"/>
      <c r="H2" s="348"/>
      <c r="I2" s="348"/>
      <c r="J2" s="298"/>
      <c r="K2" s="299"/>
    </row>
    <row r="3" spans="1:11" ht="18.75" x14ac:dyDescent="0.3">
      <c r="A3" s="200"/>
      <c r="B3" s="300"/>
      <c r="C3" s="345" t="s">
        <v>358</v>
      </c>
      <c r="D3" s="345"/>
      <c r="E3" s="345"/>
      <c r="F3" s="345"/>
      <c r="G3" s="345"/>
      <c r="H3" s="345"/>
      <c r="I3" s="345"/>
      <c r="J3" s="301"/>
      <c r="K3" s="200"/>
    </row>
    <row r="4" spans="1:11" ht="18.75" x14ac:dyDescent="0.3">
      <c r="A4" s="200"/>
      <c r="B4" s="300"/>
      <c r="C4" s="197" t="s">
        <v>41</v>
      </c>
      <c r="D4" s="202"/>
      <c r="E4" s="202"/>
      <c r="F4" s="202"/>
      <c r="G4" s="202"/>
      <c r="H4" s="202"/>
      <c r="I4" s="202"/>
      <c r="J4" s="301"/>
      <c r="K4" s="200"/>
    </row>
    <row r="5" spans="1:11" x14ac:dyDescent="0.25">
      <c r="A5" s="200"/>
      <c r="B5" s="300"/>
      <c r="C5" s="199" t="s">
        <v>225</v>
      </c>
      <c r="D5" s="201"/>
      <c r="E5" s="201"/>
      <c r="F5" s="201"/>
      <c r="G5" s="201"/>
      <c r="H5" s="201"/>
      <c r="I5" s="201"/>
      <c r="J5" s="301"/>
      <c r="K5" s="200"/>
    </row>
    <row r="6" spans="1:11" x14ac:dyDescent="0.25">
      <c r="A6" s="200"/>
      <c r="B6" s="300"/>
      <c r="C6" s="200"/>
      <c r="D6" s="200"/>
      <c r="E6" s="200"/>
      <c r="F6" s="200"/>
      <c r="G6" s="200"/>
      <c r="H6" s="200"/>
      <c r="I6" s="200"/>
      <c r="J6" s="301"/>
      <c r="K6" s="200"/>
    </row>
    <row r="7" spans="1:11" x14ac:dyDescent="0.25">
      <c r="A7" s="200"/>
      <c r="B7" s="300"/>
      <c r="C7" s="236"/>
      <c r="D7" s="302"/>
      <c r="E7" s="236"/>
      <c r="F7" s="302"/>
      <c r="G7" s="236"/>
      <c r="H7" s="236"/>
      <c r="I7" s="303" t="s">
        <v>42</v>
      </c>
      <c r="J7" s="301"/>
      <c r="K7" s="200"/>
    </row>
    <row r="8" spans="1:11" ht="6.95" customHeight="1" x14ac:dyDescent="0.25">
      <c r="A8" s="200"/>
      <c r="B8" s="300"/>
      <c r="C8" s="236"/>
      <c r="D8" s="302"/>
      <c r="E8" s="236"/>
      <c r="F8" s="302"/>
      <c r="G8" s="236"/>
      <c r="H8" s="236"/>
      <c r="I8" s="303"/>
      <c r="J8" s="301"/>
      <c r="K8" s="200"/>
    </row>
    <row r="9" spans="1:11" x14ac:dyDescent="0.25">
      <c r="A9" s="200"/>
      <c r="B9" s="300"/>
      <c r="C9" s="236" t="s">
        <v>43</v>
      </c>
      <c r="D9" s="302"/>
      <c r="E9" s="236"/>
      <c r="F9" s="302"/>
      <c r="G9" s="236"/>
      <c r="H9" s="236"/>
      <c r="I9" s="304">
        <f>-'System Info. - PCWD'!G37</f>
        <v>0.15</v>
      </c>
      <c r="J9" s="301"/>
      <c r="K9" s="200"/>
    </row>
    <row r="10" spans="1:11" x14ac:dyDescent="0.25">
      <c r="A10" s="200"/>
      <c r="B10" s="300"/>
      <c r="C10" s="236" t="s">
        <v>62</v>
      </c>
      <c r="D10" s="302"/>
      <c r="E10" s="236"/>
      <c r="F10" s="302"/>
      <c r="G10" s="236"/>
      <c r="H10" s="236"/>
      <c r="I10" s="304">
        <f>'System Info. - PCWD'!G34</f>
        <v>2.3907788646734596E-2</v>
      </c>
      <c r="J10" s="301"/>
      <c r="K10" s="200"/>
    </row>
    <row r="11" spans="1:11" x14ac:dyDescent="0.25">
      <c r="A11" s="200"/>
      <c r="B11" s="300"/>
      <c r="C11" s="236" t="s">
        <v>61</v>
      </c>
      <c r="D11" s="302"/>
      <c r="E11" s="236"/>
      <c r="F11" s="302"/>
      <c r="G11" s="236"/>
      <c r="H11" s="236"/>
      <c r="I11" s="304">
        <f>I10+I9</f>
        <v>0.17390778864673459</v>
      </c>
      <c r="J11" s="301"/>
      <c r="K11" s="200"/>
    </row>
    <row r="12" spans="1:11" x14ac:dyDescent="0.25">
      <c r="A12" s="200"/>
      <c r="B12" s="300"/>
      <c r="C12" s="236" t="s">
        <v>393</v>
      </c>
      <c r="D12" s="302"/>
      <c r="E12" s="236"/>
      <c r="F12" s="302"/>
      <c r="G12" s="236"/>
      <c r="H12" s="236"/>
      <c r="I12" s="305">
        <f>'System Info. - PCWD'!H21</f>
        <v>30.560000000000002</v>
      </c>
      <c r="J12" s="301"/>
      <c r="K12" s="200"/>
    </row>
    <row r="13" spans="1:11" x14ac:dyDescent="0.25">
      <c r="A13" s="200"/>
      <c r="B13" s="300"/>
      <c r="C13" s="236" t="s">
        <v>45</v>
      </c>
      <c r="D13" s="302"/>
      <c r="E13" s="236"/>
      <c r="F13" s="302"/>
      <c r="G13" s="236"/>
      <c r="H13" s="236"/>
      <c r="I13" s="305">
        <f>'System Info. - PCWD'!F21</f>
        <v>121.57064393939395</v>
      </c>
      <c r="J13" s="301"/>
      <c r="K13" s="200"/>
    </row>
    <row r="14" spans="1:11" x14ac:dyDescent="0.25">
      <c r="A14" s="200"/>
      <c r="B14" s="300"/>
      <c r="C14" s="236" t="s">
        <v>394</v>
      </c>
      <c r="D14" s="302"/>
      <c r="E14" s="236"/>
      <c r="F14" s="302"/>
      <c r="G14" s="236"/>
      <c r="H14" s="236"/>
      <c r="I14" s="305">
        <f>'System Info. - PCWD'!F31</f>
        <v>179578.78</v>
      </c>
      <c r="J14" s="301"/>
      <c r="K14" s="200"/>
    </row>
    <row r="15" spans="1:11" x14ac:dyDescent="0.25">
      <c r="A15" s="200"/>
      <c r="B15" s="300"/>
      <c r="C15" s="236" t="s">
        <v>47</v>
      </c>
      <c r="D15" s="302"/>
      <c r="E15" s="236"/>
      <c r="F15" s="302"/>
      <c r="G15" s="236"/>
      <c r="H15" s="236"/>
      <c r="I15" s="305">
        <f>'System Info. - PCWD'!F32</f>
        <v>248938.4</v>
      </c>
      <c r="J15" s="301"/>
      <c r="K15" s="200"/>
    </row>
    <row r="16" spans="1:11" x14ac:dyDescent="0.25">
      <c r="A16" s="200"/>
      <c r="B16" s="300"/>
      <c r="C16" s="236"/>
      <c r="D16" s="302"/>
      <c r="E16" s="236"/>
      <c r="F16" s="302"/>
      <c r="G16" s="236"/>
      <c r="H16" s="236"/>
      <c r="I16" s="304"/>
      <c r="J16" s="301"/>
      <c r="K16" s="200"/>
    </row>
    <row r="17" spans="1:11" x14ac:dyDescent="0.25">
      <c r="A17" s="200"/>
      <c r="B17" s="300"/>
      <c r="C17" s="236"/>
      <c r="D17" s="302"/>
      <c r="E17" s="236"/>
      <c r="F17" s="302"/>
      <c r="G17" s="306">
        <v>1</v>
      </c>
      <c r="H17" s="236"/>
      <c r="I17" s="304"/>
      <c r="J17" s="301"/>
      <c r="K17" s="200"/>
    </row>
    <row r="18" spans="1:11" x14ac:dyDescent="0.25">
      <c r="A18" s="200"/>
      <c r="B18" s="300"/>
      <c r="C18" s="307" t="s">
        <v>48</v>
      </c>
      <c r="D18" s="302"/>
      <c r="E18" s="200" t="s">
        <v>84</v>
      </c>
      <c r="F18" s="200"/>
      <c r="G18" s="200"/>
      <c r="H18" s="302" t="s">
        <v>49</v>
      </c>
      <c r="I18" s="308">
        <f>1/(1-I11)</f>
        <v>1.2105186155451666</v>
      </c>
      <c r="J18" s="301"/>
      <c r="K18" s="200"/>
    </row>
    <row r="19" spans="1:11" x14ac:dyDescent="0.25">
      <c r="A19" s="200"/>
      <c r="B19" s="300"/>
      <c r="C19" s="236"/>
      <c r="D19" s="302"/>
      <c r="E19" s="236">
        <v>1</v>
      </c>
      <c r="F19" s="302" t="s">
        <v>50</v>
      </c>
      <c r="G19" s="309">
        <f>I11</f>
        <v>0.17390778864673459</v>
      </c>
      <c r="H19" s="302"/>
      <c r="I19" s="304"/>
      <c r="J19" s="301"/>
      <c r="K19" s="200"/>
    </row>
    <row r="20" spans="1:11" ht="52.15" customHeight="1" x14ac:dyDescent="0.25">
      <c r="A20" s="200"/>
      <c r="B20" s="300"/>
      <c r="C20" s="310" t="s">
        <v>120</v>
      </c>
      <c r="D20" s="302"/>
      <c r="E20" s="236"/>
      <c r="F20" s="302"/>
      <c r="G20" s="311"/>
      <c r="H20" s="302"/>
      <c r="I20" s="304"/>
      <c r="J20" s="301"/>
      <c r="K20" s="200"/>
    </row>
    <row r="21" spans="1:11" x14ac:dyDescent="0.25">
      <c r="A21" s="200"/>
      <c r="B21" s="300"/>
      <c r="C21" s="236"/>
      <c r="D21" s="302"/>
      <c r="E21" s="236"/>
      <c r="F21" s="200"/>
      <c r="G21" s="312">
        <f>I12</f>
        <v>30.560000000000002</v>
      </c>
      <c r="H21" s="302"/>
      <c r="I21" s="304"/>
      <c r="J21" s="301"/>
      <c r="K21" s="200"/>
    </row>
    <row r="22" spans="1:11" x14ac:dyDescent="0.25">
      <c r="A22" s="200"/>
      <c r="B22" s="300"/>
      <c r="C22" s="307" t="s">
        <v>51</v>
      </c>
      <c r="D22" s="302"/>
      <c r="E22" s="200"/>
      <c r="F22" s="306" t="s">
        <v>85</v>
      </c>
      <c r="G22" s="306"/>
      <c r="H22" s="302" t="s">
        <v>49</v>
      </c>
      <c r="I22" s="308">
        <f>G21/G23</f>
        <v>0.25137647551850545</v>
      </c>
      <c r="J22" s="301"/>
      <c r="K22" s="200"/>
    </row>
    <row r="23" spans="1:11" x14ac:dyDescent="0.25">
      <c r="A23" s="200"/>
      <c r="B23" s="300"/>
      <c r="C23" s="236"/>
      <c r="D23" s="302"/>
      <c r="E23" s="313"/>
      <c r="F23" s="302"/>
      <c r="G23" s="312">
        <f>I13</f>
        <v>121.57064393939395</v>
      </c>
      <c r="H23" s="302"/>
      <c r="I23" s="304"/>
      <c r="J23" s="301"/>
      <c r="K23" s="200"/>
    </row>
    <row r="24" spans="1:11" ht="71.25" customHeight="1" x14ac:dyDescent="0.25">
      <c r="A24" s="200"/>
      <c r="B24" s="300"/>
      <c r="C24" s="310" t="s">
        <v>100</v>
      </c>
      <c r="D24" s="302"/>
      <c r="E24" s="313"/>
      <c r="F24" s="302"/>
      <c r="G24" s="236"/>
      <c r="H24" s="302"/>
      <c r="I24" s="304"/>
      <c r="J24" s="301"/>
      <c r="K24" s="200"/>
    </row>
    <row r="25" spans="1:11" x14ac:dyDescent="0.25">
      <c r="A25" s="200"/>
      <c r="B25" s="300"/>
      <c r="C25" s="307" t="s">
        <v>94</v>
      </c>
      <c r="D25" s="314"/>
      <c r="E25" s="315">
        <f>I9</f>
        <v>0.15</v>
      </c>
      <c r="F25" s="302" t="s">
        <v>52</v>
      </c>
      <c r="G25" s="316">
        <f>I22</f>
        <v>0.25137647551850545</v>
      </c>
      <c r="H25" s="302" t="s">
        <v>49</v>
      </c>
      <c r="I25" s="308">
        <f>E25*G25</f>
        <v>3.7706471327775819E-2</v>
      </c>
      <c r="J25" s="301"/>
      <c r="K25" s="200"/>
    </row>
    <row r="26" spans="1:11" ht="31.5" customHeight="1" x14ac:dyDescent="0.25">
      <c r="A26" s="200"/>
      <c r="B26" s="300"/>
      <c r="C26" s="317" t="s">
        <v>101</v>
      </c>
      <c r="D26" s="314"/>
      <c r="E26" s="315"/>
      <c r="F26" s="302"/>
      <c r="G26" s="316"/>
      <c r="H26" s="302"/>
      <c r="I26" s="304"/>
      <c r="J26" s="301"/>
      <c r="K26" s="200"/>
    </row>
    <row r="27" spans="1:11" x14ac:dyDescent="0.25">
      <c r="A27" s="200"/>
      <c r="B27" s="300"/>
      <c r="C27" s="236"/>
      <c r="D27" s="314"/>
      <c r="E27" s="315"/>
      <c r="F27" s="302"/>
      <c r="G27" s="316"/>
      <c r="H27" s="302"/>
      <c r="I27" s="304"/>
      <c r="J27" s="301"/>
      <c r="K27" s="200"/>
    </row>
    <row r="28" spans="1:11" x14ac:dyDescent="0.25">
      <c r="A28" s="200"/>
      <c r="B28" s="300"/>
      <c r="C28" s="307" t="s">
        <v>63</v>
      </c>
      <c r="D28" s="314"/>
      <c r="E28" s="315">
        <f>I25</f>
        <v>3.7706471327775819E-2</v>
      </c>
      <c r="F28" s="302" t="s">
        <v>64</v>
      </c>
      <c r="G28" s="316">
        <f>I10</f>
        <v>2.3907788646734596E-2</v>
      </c>
      <c r="H28" s="302" t="s">
        <v>49</v>
      </c>
      <c r="I28" s="308">
        <f>E28+G28</f>
        <v>6.1614259974510414E-2</v>
      </c>
      <c r="J28" s="301"/>
      <c r="K28" s="200"/>
    </row>
    <row r="29" spans="1:11" ht="41.25" customHeight="1" x14ac:dyDescent="0.25">
      <c r="A29" s="200"/>
      <c r="B29" s="300"/>
      <c r="C29" s="310" t="s">
        <v>102</v>
      </c>
      <c r="D29" s="314"/>
      <c r="E29" s="315"/>
      <c r="F29" s="302"/>
      <c r="G29" s="236"/>
      <c r="H29" s="302"/>
      <c r="I29" s="304"/>
      <c r="J29" s="301"/>
      <c r="K29" s="200"/>
    </row>
    <row r="30" spans="1:11" x14ac:dyDescent="0.25">
      <c r="A30" s="200"/>
      <c r="B30" s="300"/>
      <c r="C30" s="236"/>
      <c r="D30" s="302"/>
      <c r="E30" s="236"/>
      <c r="F30" s="302"/>
      <c r="G30" s="306">
        <v>1</v>
      </c>
      <c r="H30" s="302"/>
      <c r="I30" s="308"/>
      <c r="J30" s="301"/>
      <c r="K30" s="200"/>
    </row>
    <row r="31" spans="1:11" x14ac:dyDescent="0.25">
      <c r="A31" s="200"/>
      <c r="B31" s="300"/>
      <c r="C31" s="307" t="s">
        <v>53</v>
      </c>
      <c r="D31" s="302"/>
      <c r="E31" s="200" t="s">
        <v>84</v>
      </c>
      <c r="F31" s="200"/>
      <c r="G31" s="200"/>
      <c r="H31" s="302" t="s">
        <v>49</v>
      </c>
      <c r="I31" s="308">
        <f>1/(1-G32)</f>
        <v>1.0656598425854562</v>
      </c>
      <c r="J31" s="301"/>
      <c r="K31" s="200"/>
    </row>
    <row r="32" spans="1:11" x14ac:dyDescent="0.25">
      <c r="A32" s="200"/>
      <c r="B32" s="300"/>
      <c r="C32" s="236"/>
      <c r="D32" s="302"/>
      <c r="E32" s="236">
        <v>1</v>
      </c>
      <c r="F32" s="302" t="s">
        <v>50</v>
      </c>
      <c r="G32" s="309">
        <f>I28</f>
        <v>6.1614259974510414E-2</v>
      </c>
      <c r="H32" s="302"/>
      <c r="I32" s="304"/>
      <c r="J32" s="301"/>
      <c r="K32" s="200"/>
    </row>
    <row r="33" spans="1:11" ht="67.5" customHeight="1" x14ac:dyDescent="0.25">
      <c r="A33" s="200"/>
      <c r="B33" s="300"/>
      <c r="C33" s="310" t="s">
        <v>122</v>
      </c>
      <c r="D33" s="302"/>
      <c r="E33" s="236"/>
      <c r="F33" s="302"/>
      <c r="G33" s="309"/>
      <c r="H33" s="302"/>
      <c r="I33" s="304"/>
      <c r="J33" s="301"/>
      <c r="K33" s="200"/>
    </row>
    <row r="34" spans="1:11" x14ac:dyDescent="0.25">
      <c r="A34" s="200"/>
      <c r="B34" s="300"/>
      <c r="C34" s="318"/>
      <c r="D34" s="302"/>
      <c r="E34" s="319">
        <f>I31</f>
        <v>1.0656598425854562</v>
      </c>
      <c r="F34" s="302"/>
      <c r="G34" s="320">
        <f>$I$14</f>
        <v>179578.78</v>
      </c>
      <c r="H34" s="302"/>
      <c r="I34" s="304"/>
      <c r="J34" s="301"/>
      <c r="K34" s="200"/>
    </row>
    <row r="35" spans="1:11" x14ac:dyDescent="0.25">
      <c r="A35" s="200"/>
      <c r="B35" s="300"/>
      <c r="C35" s="307" t="s">
        <v>87</v>
      </c>
      <c r="D35" s="302"/>
      <c r="E35" s="302" t="s">
        <v>54</v>
      </c>
      <c r="F35" s="302" t="s">
        <v>52</v>
      </c>
      <c r="G35" s="302" t="s">
        <v>54</v>
      </c>
      <c r="H35" s="302" t="s">
        <v>49</v>
      </c>
      <c r="I35" s="308">
        <f>(I31/I18)*(+G34/G36)</f>
        <v>0.63505340788411369</v>
      </c>
      <c r="J35" s="301"/>
      <c r="K35" s="200"/>
    </row>
    <row r="36" spans="1:11" x14ac:dyDescent="0.25">
      <c r="A36" s="200"/>
      <c r="B36" s="300"/>
      <c r="C36" s="236"/>
      <c r="D36" s="302"/>
      <c r="E36" s="319">
        <f>I18</f>
        <v>1.2105186155451666</v>
      </c>
      <c r="F36" s="302"/>
      <c r="G36" s="320">
        <f>$I$15</f>
        <v>248938.4</v>
      </c>
      <c r="H36" s="302"/>
      <c r="I36" s="308"/>
      <c r="J36" s="301"/>
      <c r="K36" s="200"/>
    </row>
    <row r="37" spans="1:11" ht="60" x14ac:dyDescent="0.25">
      <c r="A37" s="200"/>
      <c r="B37" s="300"/>
      <c r="C37" s="310" t="s">
        <v>103</v>
      </c>
      <c r="D37" s="302"/>
      <c r="E37" s="319"/>
      <c r="F37" s="302"/>
      <c r="G37" s="320"/>
      <c r="H37" s="302"/>
      <c r="I37" s="308"/>
      <c r="J37" s="301"/>
      <c r="K37" s="200"/>
    </row>
    <row r="38" spans="1:11" x14ac:dyDescent="0.25">
      <c r="A38" s="200"/>
      <c r="B38" s="300"/>
      <c r="C38" s="310"/>
      <c r="D38" s="302"/>
      <c r="E38" s="320">
        <f>$I$14</f>
        <v>179578.78</v>
      </c>
      <c r="F38" s="302"/>
      <c r="G38" s="236"/>
      <c r="H38" s="302"/>
      <c r="I38" s="308"/>
      <c r="J38" s="301"/>
      <c r="K38" s="200"/>
    </row>
    <row r="39" spans="1:11" x14ac:dyDescent="0.25">
      <c r="A39" s="200"/>
      <c r="B39" s="300"/>
      <c r="C39" s="307" t="s">
        <v>55</v>
      </c>
      <c r="D39" s="302"/>
      <c r="E39" s="302" t="s">
        <v>54</v>
      </c>
      <c r="F39" s="302" t="s">
        <v>52</v>
      </c>
      <c r="G39" s="309">
        <f>I22</f>
        <v>0.25137647551850545</v>
      </c>
      <c r="H39" s="302" t="s">
        <v>49</v>
      </c>
      <c r="I39" s="308">
        <f>(+E38/E40)*I22</f>
        <v>0.18133755497067983</v>
      </c>
      <c r="J39" s="301"/>
      <c r="K39" s="200"/>
    </row>
    <row r="40" spans="1:11" x14ac:dyDescent="0.25">
      <c r="A40" s="200"/>
      <c r="B40" s="300"/>
      <c r="C40" s="236"/>
      <c r="D40" s="302"/>
      <c r="E40" s="320">
        <f>$I$15</f>
        <v>248938.4</v>
      </c>
      <c r="F40" s="302"/>
      <c r="G40" s="236"/>
      <c r="H40" s="302"/>
      <c r="I40" s="308"/>
      <c r="J40" s="301"/>
      <c r="K40" s="200"/>
    </row>
    <row r="41" spans="1:11" ht="36.75" customHeight="1" x14ac:dyDescent="0.25">
      <c r="A41" s="200"/>
      <c r="B41" s="300"/>
      <c r="C41" s="310" t="s">
        <v>104</v>
      </c>
      <c r="D41" s="302"/>
      <c r="E41" s="236"/>
      <c r="F41" s="302"/>
      <c r="G41" s="236"/>
      <c r="H41" s="302"/>
      <c r="I41" s="308"/>
      <c r="J41" s="301"/>
      <c r="K41" s="200"/>
    </row>
    <row r="42" spans="1:11" x14ac:dyDescent="0.25">
      <c r="A42" s="200"/>
      <c r="B42" s="300"/>
      <c r="C42" s="236"/>
      <c r="D42" s="302"/>
      <c r="E42" s="236"/>
      <c r="F42" s="302"/>
      <c r="G42" s="320">
        <f>$I$14</f>
        <v>179578.78</v>
      </c>
      <c r="H42" s="302"/>
      <c r="I42" s="308"/>
      <c r="J42" s="301"/>
      <c r="K42" s="200"/>
    </row>
    <row r="43" spans="1:11" x14ac:dyDescent="0.25">
      <c r="A43" s="200"/>
      <c r="B43" s="300"/>
      <c r="C43" s="307" t="s">
        <v>56</v>
      </c>
      <c r="D43" s="302"/>
      <c r="E43" s="236"/>
      <c r="F43" s="302"/>
      <c r="G43" s="302" t="s">
        <v>54</v>
      </c>
      <c r="H43" s="302" t="s">
        <v>49</v>
      </c>
      <c r="I43" s="308">
        <f>G42/G44</f>
        <v>0.72137838115774833</v>
      </c>
      <c r="J43" s="301"/>
      <c r="K43" s="200"/>
    </row>
    <row r="44" spans="1:11" x14ac:dyDescent="0.25">
      <c r="A44" s="200"/>
      <c r="B44" s="300"/>
      <c r="C44" s="200"/>
      <c r="D44" s="321"/>
      <c r="E44" s="200"/>
      <c r="F44" s="321"/>
      <c r="G44" s="320">
        <f>$I$15</f>
        <v>248938.4</v>
      </c>
      <c r="H44" s="200"/>
      <c r="I44" s="322"/>
      <c r="J44" s="301"/>
      <c r="K44" s="200"/>
    </row>
    <row r="45" spans="1:11" ht="53.65" customHeight="1" x14ac:dyDescent="0.25">
      <c r="A45" s="200"/>
      <c r="B45" s="323"/>
      <c r="C45" s="324" t="s">
        <v>105</v>
      </c>
      <c r="D45" s="325"/>
      <c r="E45" s="242"/>
      <c r="F45" s="325"/>
      <c r="G45" s="242"/>
      <c r="H45" s="242"/>
      <c r="I45" s="242"/>
      <c r="J45" s="326"/>
      <c r="K45" s="200"/>
    </row>
    <row r="46" spans="1:11" x14ac:dyDescent="0.25">
      <c r="A46" s="200"/>
      <c r="B46" s="200"/>
      <c r="C46" s="327"/>
      <c r="D46" s="321"/>
      <c r="E46" s="200"/>
      <c r="F46" s="321"/>
      <c r="G46" s="200"/>
      <c r="H46" s="200"/>
      <c r="I46" s="200"/>
      <c r="J46" s="200"/>
      <c r="K46" s="200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</sheetData>
  <mergeCells count="2">
    <mergeCell ref="C2:I2"/>
    <mergeCell ref="C3:I3"/>
  </mergeCells>
  <printOptions horizontalCentered="1"/>
  <pageMargins left="0.25" right="0.25" top="0.75" bottom="0.75" header="0.3" footer="0.3"/>
  <pageSetup scale="68" orientation="portrait" horizontalDpi="4294967293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84"/>
  <sheetViews>
    <sheetView showGridLines="0" topLeftCell="A49" workbookViewId="0">
      <selection sqref="A1:XFD1048576"/>
    </sheetView>
  </sheetViews>
  <sheetFormatPr defaultColWidth="8.88671875" defaultRowHeight="15" x14ac:dyDescent="0.2"/>
  <cols>
    <col min="1" max="1" width="2.6640625" style="258" customWidth="1"/>
    <col min="2" max="2" width="1.77734375" style="258" customWidth="1"/>
    <col min="3" max="3" width="4.6640625" style="258" customWidth="1"/>
    <col min="4" max="4" width="18.5546875" style="258" customWidth="1"/>
    <col min="5" max="5" width="11.6640625" style="258" customWidth="1"/>
    <col min="6" max="6" width="8.21875" style="258" customWidth="1"/>
    <col min="7" max="7" width="8.77734375" style="258" customWidth="1"/>
    <col min="8" max="8" width="12.6640625" style="258" customWidth="1"/>
    <col min="9" max="9" width="11.33203125" style="258" customWidth="1"/>
    <col min="10" max="10" width="1.33203125" style="258" customWidth="1"/>
    <col min="11" max="11" width="2.6640625" style="258" customWidth="1"/>
    <col min="12" max="12" width="8.88671875" style="258"/>
    <col min="13" max="13" width="12.77734375" style="258" customWidth="1"/>
    <col min="14" max="16384" width="8.88671875" style="258"/>
  </cols>
  <sheetData>
    <row r="2" spans="1:11" x14ac:dyDescent="0.2">
      <c r="A2" s="254"/>
      <c r="B2" s="255"/>
      <c r="C2" s="256"/>
      <c r="D2" s="256"/>
      <c r="E2" s="256"/>
      <c r="F2" s="256"/>
      <c r="G2" s="256"/>
      <c r="H2" s="256"/>
      <c r="I2" s="256"/>
      <c r="J2" s="257"/>
    </row>
    <row r="3" spans="1:11" ht="18.75" x14ac:dyDescent="0.3">
      <c r="A3" s="254"/>
      <c r="B3" s="259"/>
      <c r="C3" s="349" t="s">
        <v>67</v>
      </c>
      <c r="D3" s="349"/>
      <c r="E3" s="349"/>
      <c r="F3" s="349"/>
      <c r="G3" s="349"/>
      <c r="H3" s="349"/>
      <c r="I3" s="349"/>
      <c r="J3" s="350"/>
      <c r="K3" s="260"/>
    </row>
    <row r="4" spans="1:11" ht="18.75" x14ac:dyDescent="0.3">
      <c r="A4" s="254"/>
      <c r="B4" s="259"/>
      <c r="C4" s="261" t="s">
        <v>7</v>
      </c>
      <c r="D4" s="262"/>
      <c r="E4" s="262"/>
      <c r="F4" s="262"/>
      <c r="G4" s="262"/>
      <c r="H4" s="262"/>
      <c r="I4" s="262"/>
      <c r="J4" s="263"/>
      <c r="K4" s="260"/>
    </row>
    <row r="5" spans="1:11" ht="15.75" x14ac:dyDescent="0.25">
      <c r="A5" s="254"/>
      <c r="B5" s="259"/>
      <c r="C5" s="264" t="s">
        <v>225</v>
      </c>
      <c r="D5" s="262"/>
      <c r="E5" s="262"/>
      <c r="F5" s="262"/>
      <c r="G5" s="262"/>
      <c r="H5" s="262"/>
      <c r="I5" s="262"/>
      <c r="J5" s="263"/>
      <c r="K5" s="260"/>
    </row>
    <row r="6" spans="1:11" ht="15.75" x14ac:dyDescent="0.25">
      <c r="A6" s="254"/>
      <c r="B6" s="259"/>
      <c r="C6" s="265"/>
      <c r="D6" s="266"/>
      <c r="E6" s="266"/>
      <c r="F6" s="266"/>
      <c r="G6" s="266"/>
      <c r="H6" s="266"/>
      <c r="I6" s="266"/>
      <c r="J6" s="267"/>
      <c r="K6" s="260"/>
    </row>
    <row r="7" spans="1:11" ht="15.75" x14ac:dyDescent="0.25">
      <c r="A7" s="254"/>
      <c r="B7" s="259"/>
      <c r="C7" s="260"/>
      <c r="D7" s="268"/>
      <c r="E7" s="269"/>
      <c r="F7" s="351" t="s">
        <v>92</v>
      </c>
      <c r="G7" s="351"/>
      <c r="H7" s="270" t="s">
        <v>9</v>
      </c>
      <c r="I7" s="270" t="s">
        <v>12</v>
      </c>
      <c r="J7" s="271"/>
      <c r="K7" s="269"/>
    </row>
    <row r="8" spans="1:11" ht="15.75" x14ac:dyDescent="0.25">
      <c r="A8" s="254"/>
      <c r="B8" s="259"/>
      <c r="C8" s="260"/>
      <c r="D8" s="268"/>
      <c r="E8" s="269" t="s">
        <v>10</v>
      </c>
      <c r="F8" s="269" t="s">
        <v>93</v>
      </c>
      <c r="G8" s="269" t="s">
        <v>11</v>
      </c>
      <c r="H8" s="270" t="s">
        <v>8</v>
      </c>
      <c r="I8" s="270" t="s">
        <v>8</v>
      </c>
      <c r="J8" s="271"/>
      <c r="K8" s="269"/>
    </row>
    <row r="9" spans="1:11" ht="15.75" x14ac:dyDescent="0.25">
      <c r="A9" s="254"/>
      <c r="B9" s="259"/>
      <c r="C9" s="260" t="s">
        <v>13</v>
      </c>
      <c r="D9" s="268"/>
      <c r="E9" s="268"/>
      <c r="F9" s="268"/>
      <c r="G9" s="268"/>
      <c r="H9" s="268"/>
      <c r="I9" s="268"/>
      <c r="J9" s="267"/>
      <c r="K9" s="260"/>
    </row>
    <row r="10" spans="1:11" ht="15.75" x14ac:dyDescent="0.25">
      <c r="A10" s="254"/>
      <c r="B10" s="259"/>
      <c r="C10" s="260"/>
      <c r="D10" s="268" t="s">
        <v>57</v>
      </c>
      <c r="E10" s="24">
        <f>Matrix!G67</f>
        <v>139691</v>
      </c>
      <c r="F10" s="272" t="s">
        <v>88</v>
      </c>
      <c r="G10" s="273">
        <f>'Wholesale Factors - PCWD'!$I$35</f>
        <v>0.63505340788411369</v>
      </c>
      <c r="H10" s="24">
        <f>E10*G10</f>
        <v>88711.245600739727</v>
      </c>
      <c r="I10" s="24">
        <f>E10-H10</f>
        <v>50979.754399260273</v>
      </c>
      <c r="J10" s="274"/>
    </row>
    <row r="11" spans="1:11" ht="15.75" x14ac:dyDescent="0.25">
      <c r="A11" s="254"/>
      <c r="B11" s="259"/>
      <c r="C11" s="260"/>
      <c r="D11" s="268" t="s">
        <v>14</v>
      </c>
      <c r="E11" s="25">
        <f>Matrix!H67</f>
        <v>54178</v>
      </c>
      <c r="F11" s="272" t="s">
        <v>15</v>
      </c>
      <c r="G11" s="273">
        <f>'Wholesale Factors - PCWD'!$I$39</f>
        <v>0.18133755497067983</v>
      </c>
      <c r="H11" s="25">
        <f>E11*G11</f>
        <v>9824.5060532014923</v>
      </c>
      <c r="I11" s="25">
        <f>E11-H11</f>
        <v>44353.49394679851</v>
      </c>
      <c r="J11" s="274"/>
    </row>
    <row r="12" spans="1:11" ht="15.75" x14ac:dyDescent="0.25">
      <c r="A12" s="254"/>
      <c r="B12" s="259"/>
      <c r="C12" s="260" t="s">
        <v>58</v>
      </c>
      <c r="D12" s="268"/>
      <c r="E12" s="25"/>
      <c r="F12" s="272"/>
      <c r="G12" s="275"/>
      <c r="H12" s="25"/>
      <c r="I12" s="25"/>
      <c r="J12" s="274"/>
    </row>
    <row r="13" spans="1:11" ht="15.75" x14ac:dyDescent="0.25">
      <c r="A13" s="254"/>
      <c r="B13" s="259"/>
      <c r="C13" s="260"/>
      <c r="D13" s="268" t="s">
        <v>57</v>
      </c>
      <c r="E13" s="24">
        <f>Matrix!G21</f>
        <v>77559</v>
      </c>
      <c r="F13" s="272" t="s">
        <v>88</v>
      </c>
      <c r="G13" s="273">
        <f>'Wholesale Factors - PCWD'!$I$35</f>
        <v>0.63505340788411369</v>
      </c>
      <c r="H13" s="25">
        <f t="shared" ref="H13:H14" si="0">E13*G13</f>
        <v>49254.107262083977</v>
      </c>
      <c r="I13" s="25">
        <f t="shared" ref="I13:I14" si="1">E13-H13</f>
        <v>28304.892737916023</v>
      </c>
      <c r="J13" s="274"/>
    </row>
    <row r="14" spans="1:11" ht="15.75" x14ac:dyDescent="0.25">
      <c r="A14" s="254"/>
      <c r="B14" s="259"/>
      <c r="C14" s="260"/>
      <c r="D14" s="268" t="s">
        <v>14</v>
      </c>
      <c r="E14" s="25">
        <f>Matrix!H21</f>
        <v>30081</v>
      </c>
      <c r="F14" s="272" t="s">
        <v>15</v>
      </c>
      <c r="G14" s="273">
        <f>'Wholesale Factors - PCWD'!$I$39</f>
        <v>0.18133755497067983</v>
      </c>
      <c r="H14" s="25">
        <f t="shared" si="0"/>
        <v>5454.8149910730199</v>
      </c>
      <c r="I14" s="25">
        <f t="shared" si="1"/>
        <v>24626.185008926979</v>
      </c>
      <c r="J14" s="274"/>
    </row>
    <row r="15" spans="1:11" ht="15.75" x14ac:dyDescent="0.25">
      <c r="A15" s="254"/>
      <c r="B15" s="259"/>
      <c r="C15" s="276" t="s">
        <v>307</v>
      </c>
      <c r="D15" s="268"/>
      <c r="E15" s="25"/>
      <c r="F15" s="272"/>
      <c r="G15" s="273"/>
      <c r="H15" s="25"/>
      <c r="I15" s="25"/>
      <c r="J15" s="274"/>
    </row>
    <row r="16" spans="1:11" ht="15.75" x14ac:dyDescent="0.25">
      <c r="A16" s="254"/>
      <c r="B16" s="259"/>
      <c r="C16" s="277"/>
      <c r="D16" s="268" t="s">
        <v>57</v>
      </c>
      <c r="E16" s="24">
        <f>Matrix!G63</f>
        <v>74810</v>
      </c>
      <c r="F16" s="272" t="s">
        <v>88</v>
      </c>
      <c r="G16" s="273">
        <f>'Wholesale Factors - PCWD'!$I$35</f>
        <v>0.63505340788411369</v>
      </c>
      <c r="H16" s="25">
        <f t="shared" ref="H16:H17" si="2">E16*G16</f>
        <v>47508.345443810547</v>
      </c>
      <c r="I16" s="25">
        <f t="shared" ref="I16:I18" si="3">E16-H16</f>
        <v>27301.654556189453</v>
      </c>
      <c r="J16" s="274"/>
    </row>
    <row r="17" spans="1:10" ht="15.75" x14ac:dyDescent="0.25">
      <c r="A17" s="254"/>
      <c r="B17" s="259"/>
      <c r="C17" s="260"/>
      <c r="D17" s="268" t="s">
        <v>14</v>
      </c>
      <c r="E17" s="25">
        <f>Matrix!H63</f>
        <v>31296</v>
      </c>
      <c r="F17" s="272" t="s">
        <v>15</v>
      </c>
      <c r="G17" s="273">
        <f>'Wholesale Factors - PCWD'!$I$39</f>
        <v>0.18133755497067983</v>
      </c>
      <c r="H17" s="25">
        <f t="shared" si="2"/>
        <v>5675.1401203623955</v>
      </c>
      <c r="I17" s="25">
        <f t="shared" si="3"/>
        <v>25620.859879637603</v>
      </c>
      <c r="J17" s="274"/>
    </row>
    <row r="18" spans="1:10" ht="15.75" x14ac:dyDescent="0.25">
      <c r="A18" s="254"/>
      <c r="B18" s="259"/>
      <c r="C18" s="260" t="s">
        <v>3</v>
      </c>
      <c r="D18" s="268"/>
      <c r="E18" s="25"/>
      <c r="H18" s="25">
        <f>E18*G19</f>
        <v>0</v>
      </c>
      <c r="I18" s="25">
        <f t="shared" si="3"/>
        <v>0</v>
      </c>
      <c r="J18" s="274"/>
    </row>
    <row r="19" spans="1:10" ht="15.75" x14ac:dyDescent="0.25">
      <c r="A19" s="254"/>
      <c r="B19" s="259"/>
      <c r="C19" s="260"/>
      <c r="D19" s="268" t="s">
        <v>57</v>
      </c>
      <c r="E19" s="25">
        <f>Matrix!G24</f>
        <v>62945</v>
      </c>
      <c r="F19" s="272" t="s">
        <v>88</v>
      </c>
      <c r="G19" s="273">
        <f>'Wholesale Factors - PCWD'!$I$35</f>
        <v>0.63505340788411369</v>
      </c>
      <c r="H19" s="25">
        <f t="shared" ref="H19:H20" si="4">E19*G19</f>
        <v>39973.436759265533</v>
      </c>
      <c r="I19" s="25">
        <f t="shared" ref="I19:I20" si="5">E19-H19</f>
        <v>22971.563240734467</v>
      </c>
      <c r="J19" s="274"/>
    </row>
    <row r="20" spans="1:10" ht="15.75" x14ac:dyDescent="0.25">
      <c r="A20" s="254"/>
      <c r="B20" s="259"/>
      <c r="C20" s="260"/>
      <c r="D20" s="268" t="s">
        <v>14</v>
      </c>
      <c r="E20" s="25">
        <f>Matrix!H24</f>
        <v>3262</v>
      </c>
      <c r="F20" s="272" t="s">
        <v>15</v>
      </c>
      <c r="G20" s="273">
        <f>'Wholesale Factors - PCWD'!$I$39</f>
        <v>0.18133755497067983</v>
      </c>
      <c r="H20" s="25">
        <f t="shared" si="4"/>
        <v>591.52310431435762</v>
      </c>
      <c r="I20" s="25">
        <f t="shared" si="5"/>
        <v>2670.4768956856424</v>
      </c>
      <c r="J20" s="274"/>
    </row>
    <row r="21" spans="1:10" ht="15.75" x14ac:dyDescent="0.25">
      <c r="A21" s="254"/>
      <c r="B21" s="259"/>
      <c r="C21" s="260" t="s">
        <v>111</v>
      </c>
      <c r="D21" s="268"/>
      <c r="E21" s="25">
        <f>Matrix!G61</f>
        <v>0</v>
      </c>
      <c r="F21" s="272" t="s">
        <v>88</v>
      </c>
      <c r="G21" s="273">
        <f>'Wholesale Factors - PCWD'!$I$35</f>
        <v>0.63505340788411369</v>
      </c>
      <c r="H21" s="25">
        <f t="shared" ref="H21" si="6">E21*G21</f>
        <v>0</v>
      </c>
      <c r="I21" s="25">
        <f t="shared" ref="I21" si="7">E21-H21</f>
        <v>0</v>
      </c>
      <c r="J21" s="274"/>
    </row>
    <row r="22" spans="1:10" ht="15.75" x14ac:dyDescent="0.25">
      <c r="A22" s="254"/>
      <c r="B22" s="259"/>
      <c r="C22" s="260" t="s">
        <v>77</v>
      </c>
      <c r="D22" s="268"/>
      <c r="E22" s="25">
        <f>Matrix!G10</f>
        <v>169847</v>
      </c>
      <c r="F22" s="272" t="s">
        <v>88</v>
      </c>
      <c r="G22" s="273">
        <f>'Wholesale Factors - PCWD'!$I$35</f>
        <v>0.63505340788411369</v>
      </c>
      <c r="H22" s="25">
        <f>E22*G22</f>
        <v>107861.91616889306</v>
      </c>
      <c r="I22" s="25">
        <f>E22-H22</f>
        <v>61985.083831106938</v>
      </c>
      <c r="J22" s="274"/>
    </row>
    <row r="23" spans="1:10" ht="15.75" x14ac:dyDescent="0.25">
      <c r="A23" s="254"/>
      <c r="B23" s="259"/>
      <c r="C23" s="260" t="s">
        <v>68</v>
      </c>
      <c r="D23" s="268"/>
      <c r="E23" s="25"/>
      <c r="F23" s="272"/>
      <c r="G23" s="273"/>
      <c r="H23" s="25"/>
      <c r="I23" s="25"/>
      <c r="J23" s="274"/>
    </row>
    <row r="24" spans="1:10" ht="15.75" x14ac:dyDescent="0.25">
      <c r="A24" s="254"/>
      <c r="B24" s="259"/>
      <c r="C24" s="260"/>
      <c r="D24" s="268" t="s">
        <v>57</v>
      </c>
      <c r="E24" s="24">
        <f>Matrix!G51</f>
        <v>31145</v>
      </c>
      <c r="F24" s="272" t="s">
        <v>88</v>
      </c>
      <c r="G24" s="273">
        <f>'Wholesale Factors - PCWD'!$I$35</f>
        <v>0.63505340788411369</v>
      </c>
      <c r="H24" s="25">
        <f>E24*G24</f>
        <v>19778.738388550722</v>
      </c>
      <c r="I24" s="25">
        <f>E24-H24</f>
        <v>11366.261611449278</v>
      </c>
      <c r="J24" s="274"/>
    </row>
    <row r="25" spans="1:10" ht="15.75" x14ac:dyDescent="0.25">
      <c r="A25" s="254"/>
      <c r="B25" s="259"/>
      <c r="C25" s="260"/>
      <c r="D25" s="268" t="s">
        <v>14</v>
      </c>
      <c r="E25" s="25">
        <f>Matrix!H51</f>
        <v>31145</v>
      </c>
      <c r="F25" s="272" t="s">
        <v>15</v>
      </c>
      <c r="G25" s="273">
        <f>'Wholesale Factors - PCWD'!$I$39</f>
        <v>0.18133755497067983</v>
      </c>
      <c r="H25" s="25">
        <f>E25*G25</f>
        <v>5647.7581495618233</v>
      </c>
      <c r="I25" s="25">
        <f>E25-H25</f>
        <v>25497.241850438179</v>
      </c>
      <c r="J25" s="274"/>
    </row>
    <row r="26" spans="1:10" ht="15.75" x14ac:dyDescent="0.25">
      <c r="A26" s="254"/>
      <c r="B26" s="259"/>
      <c r="C26" s="260" t="s">
        <v>69</v>
      </c>
      <c r="D26" s="268"/>
      <c r="E26" s="25"/>
      <c r="F26" s="272"/>
      <c r="G26" s="273"/>
      <c r="H26" s="25"/>
      <c r="I26" s="25"/>
      <c r="J26" s="274"/>
    </row>
    <row r="27" spans="1:10" ht="15.75" x14ac:dyDescent="0.25">
      <c r="A27" s="254"/>
      <c r="B27" s="259"/>
      <c r="C27" s="260"/>
      <c r="D27" s="268" t="s">
        <v>57</v>
      </c>
      <c r="E27" s="25">
        <f>Matrix!G54</f>
        <v>9183</v>
      </c>
      <c r="F27" s="272" t="s">
        <v>88</v>
      </c>
      <c r="G27" s="273">
        <f>'Wholesale Factors - PCWD'!$I$35</f>
        <v>0.63505340788411369</v>
      </c>
      <c r="H27" s="25">
        <f>E27*G27</f>
        <v>5831.6954445998163</v>
      </c>
      <c r="I27" s="25">
        <f>E27-H27</f>
        <v>3351.3045554001837</v>
      </c>
      <c r="J27" s="274"/>
    </row>
    <row r="28" spans="1:10" ht="15.75" x14ac:dyDescent="0.25">
      <c r="A28" s="254"/>
      <c r="B28" s="259"/>
      <c r="C28" s="260"/>
      <c r="D28" s="268" t="s">
        <v>14</v>
      </c>
      <c r="E28" s="25">
        <v>0</v>
      </c>
      <c r="F28" s="272" t="s">
        <v>15</v>
      </c>
      <c r="G28" s="273">
        <f>'Wholesale Factors - PCWD'!$I$39</f>
        <v>0.18133755497067983</v>
      </c>
      <c r="H28" s="25">
        <f t="shared" ref="H28" si="8">E28*G28</f>
        <v>0</v>
      </c>
      <c r="I28" s="25">
        <f t="shared" ref="I28" si="9">E28-H28</f>
        <v>0</v>
      </c>
      <c r="J28" s="274"/>
    </row>
    <row r="29" spans="1:10" ht="15.75" x14ac:dyDescent="0.25">
      <c r="A29" s="254"/>
      <c r="B29" s="259"/>
      <c r="C29" s="260" t="s">
        <v>78</v>
      </c>
      <c r="D29" s="268"/>
      <c r="E29" s="25"/>
      <c r="F29" s="272"/>
      <c r="G29" s="275"/>
      <c r="H29" s="25"/>
      <c r="I29" s="25"/>
      <c r="J29" s="274"/>
    </row>
    <row r="30" spans="1:10" ht="15.75" x14ac:dyDescent="0.25">
      <c r="A30" s="254"/>
      <c r="B30" s="259"/>
      <c r="C30" s="260"/>
      <c r="D30" s="268" t="s">
        <v>57</v>
      </c>
      <c r="E30" s="24">
        <f>Matrix!G45</f>
        <v>12225</v>
      </c>
      <c r="F30" s="272" t="s">
        <v>88</v>
      </c>
      <c r="G30" s="273">
        <f>'Wholesale Factors - PCWD'!$I$35</f>
        <v>0.63505340788411369</v>
      </c>
      <c r="H30" s="25">
        <f t="shared" ref="H30:H31" si="10">E30*G30</f>
        <v>7763.5279113832894</v>
      </c>
      <c r="I30" s="25">
        <f t="shared" ref="I30:I31" si="11">E30-H30</f>
        <v>4461.4720886167106</v>
      </c>
      <c r="J30" s="274"/>
    </row>
    <row r="31" spans="1:10" ht="15.75" x14ac:dyDescent="0.25">
      <c r="A31" s="254"/>
      <c r="B31" s="259"/>
      <c r="C31" s="260"/>
      <c r="D31" s="268" t="s">
        <v>14</v>
      </c>
      <c r="E31" s="25">
        <f>Matrix!H45</f>
        <v>5426</v>
      </c>
      <c r="F31" s="272" t="s">
        <v>15</v>
      </c>
      <c r="G31" s="273">
        <f>'Wholesale Factors - PCWD'!$I$39</f>
        <v>0.18133755497067983</v>
      </c>
      <c r="H31" s="25">
        <f t="shared" si="10"/>
        <v>983.93757327090873</v>
      </c>
      <c r="I31" s="25">
        <f t="shared" si="11"/>
        <v>4442.0624267290914</v>
      </c>
      <c r="J31" s="274"/>
    </row>
    <row r="32" spans="1:10" ht="15.75" x14ac:dyDescent="0.25">
      <c r="A32" s="254"/>
      <c r="B32" s="259"/>
      <c r="C32" s="260" t="s">
        <v>110</v>
      </c>
      <c r="D32" s="268"/>
      <c r="E32" s="25"/>
      <c r="G32" s="273"/>
      <c r="H32" s="25"/>
      <c r="I32" s="25"/>
      <c r="J32" s="274"/>
    </row>
    <row r="33" spans="1:11" ht="15.75" x14ac:dyDescent="0.25">
      <c r="A33" s="254"/>
      <c r="B33" s="259"/>
      <c r="C33" s="260"/>
      <c r="D33" s="268" t="s">
        <v>57</v>
      </c>
      <c r="E33" s="25">
        <f>Matrix!G73</f>
        <v>12128</v>
      </c>
      <c r="F33" s="272" t="s">
        <v>88</v>
      </c>
      <c r="G33" s="273">
        <f>'Wholesale Factors - PCWD'!$I$35</f>
        <v>0.63505340788411369</v>
      </c>
      <c r="H33" s="25">
        <f>E33*G33</f>
        <v>7701.927730818531</v>
      </c>
      <c r="I33" s="25">
        <f>E33-H33</f>
        <v>4426.072269181469</v>
      </c>
      <c r="J33" s="274"/>
    </row>
    <row r="34" spans="1:11" ht="15.75" x14ac:dyDescent="0.25">
      <c r="A34" s="254"/>
      <c r="B34" s="259"/>
      <c r="C34" s="260"/>
      <c r="D34" s="268" t="s">
        <v>14</v>
      </c>
      <c r="E34" s="278">
        <f>Matrix!H73</f>
        <v>4891</v>
      </c>
      <c r="F34" s="272" t="s">
        <v>15</v>
      </c>
      <c r="G34" s="273">
        <f>'Wholesale Factors - PCWD'!$I$39</f>
        <v>0.18133755497067983</v>
      </c>
      <c r="H34" s="278">
        <f t="shared" ref="H34" si="12">E34*G34</f>
        <v>886.92198136159504</v>
      </c>
      <c r="I34" s="278">
        <f t="shared" ref="I34" si="13">E34-H34</f>
        <v>4004.078018638405</v>
      </c>
      <c r="J34" s="274"/>
    </row>
    <row r="35" spans="1:11" ht="6.95" customHeight="1" x14ac:dyDescent="0.25">
      <c r="A35" s="254"/>
      <c r="B35" s="259"/>
      <c r="C35" s="260"/>
      <c r="D35" s="268"/>
      <c r="E35" s="25"/>
      <c r="F35" s="272"/>
      <c r="G35" s="275"/>
      <c r="H35" s="25"/>
      <c r="I35" s="25"/>
      <c r="J35" s="274"/>
    </row>
    <row r="36" spans="1:11" ht="15.75" x14ac:dyDescent="0.25">
      <c r="A36" s="254"/>
      <c r="B36" s="259"/>
      <c r="C36" s="279" t="s">
        <v>376</v>
      </c>
      <c r="D36" s="268"/>
      <c r="E36" s="25">
        <f>SUM(E10:E35)</f>
        <v>749812</v>
      </c>
      <c r="F36" s="272"/>
      <c r="G36" s="275"/>
      <c r="H36" s="25">
        <f>SUM(H10:H35)</f>
        <v>403449.54268329078</v>
      </c>
      <c r="I36" s="25">
        <f>SUM(I10:I35)</f>
        <v>346362.45731670922</v>
      </c>
      <c r="J36" s="274"/>
    </row>
    <row r="37" spans="1:11" ht="6.95" customHeight="1" x14ac:dyDescent="0.25">
      <c r="A37" s="254"/>
      <c r="B37" s="259"/>
      <c r="C37" s="260"/>
      <c r="D37" s="268"/>
      <c r="E37" s="25"/>
      <c r="F37" s="272"/>
      <c r="G37" s="275"/>
      <c r="H37" s="25"/>
      <c r="I37" s="25"/>
      <c r="J37" s="274"/>
    </row>
    <row r="38" spans="1:11" ht="15.75" x14ac:dyDescent="0.25">
      <c r="A38" s="254"/>
      <c r="B38" s="259"/>
      <c r="C38" s="260" t="s">
        <v>2</v>
      </c>
      <c r="D38" s="268"/>
      <c r="E38" s="25"/>
      <c r="F38" s="272"/>
      <c r="G38" s="275"/>
      <c r="H38" s="25"/>
      <c r="I38" s="25"/>
      <c r="J38" s="274"/>
    </row>
    <row r="39" spans="1:11" ht="15.75" x14ac:dyDescent="0.25">
      <c r="A39" s="254"/>
      <c r="B39" s="259"/>
      <c r="C39" s="260"/>
      <c r="D39" s="268" t="s">
        <v>57</v>
      </c>
      <c r="E39" s="25">
        <f>Matrix!G12</f>
        <v>83951</v>
      </c>
      <c r="F39" s="272" t="s">
        <v>88</v>
      </c>
      <c r="G39" s="273">
        <f>'Wholesale Factors - PCWD'!$I$35</f>
        <v>0.63505340788411369</v>
      </c>
      <c r="H39" s="25">
        <f>E39*G39</f>
        <v>53313.368645279224</v>
      </c>
      <c r="I39" s="25">
        <f>E39-H39</f>
        <v>30637.631354720776</v>
      </c>
      <c r="J39" s="274"/>
    </row>
    <row r="40" spans="1:11" ht="15.75" x14ac:dyDescent="0.25">
      <c r="A40" s="254"/>
      <c r="B40" s="259"/>
      <c r="C40" s="260"/>
      <c r="D40" s="260" t="s">
        <v>18</v>
      </c>
      <c r="E40" s="25">
        <f>Matrix!H12</f>
        <v>44926</v>
      </c>
      <c r="F40" s="272" t="s">
        <v>15</v>
      </c>
      <c r="G40" s="273">
        <f>'Wholesale Factors - PCWD'!$I$39</f>
        <v>0.18133755497067983</v>
      </c>
      <c r="H40" s="25">
        <f>E40*G40</f>
        <v>8146.7709946127616</v>
      </c>
      <c r="I40" s="25">
        <f>E40-H40</f>
        <v>36779.229005387242</v>
      </c>
      <c r="J40" s="274"/>
    </row>
    <row r="41" spans="1:11" ht="15.75" x14ac:dyDescent="0.25">
      <c r="A41" s="254"/>
      <c r="B41" s="259"/>
      <c r="C41" s="260"/>
      <c r="D41" s="260" t="s">
        <v>86</v>
      </c>
      <c r="E41" s="25">
        <f>Matrix!I75</f>
        <v>24241</v>
      </c>
      <c r="F41" s="272" t="s">
        <v>17</v>
      </c>
      <c r="G41" s="273">
        <f>'Wholesale Factors - PCWD'!$I$43</f>
        <v>0.72137838115774833</v>
      </c>
      <c r="H41" s="25">
        <f>E41*G41</f>
        <v>17486.933337644976</v>
      </c>
      <c r="I41" s="25">
        <f>E41-H41</f>
        <v>6754.0666623550242</v>
      </c>
      <c r="J41" s="274"/>
    </row>
    <row r="42" spans="1:11" ht="15.75" x14ac:dyDescent="0.25">
      <c r="A42" s="254"/>
      <c r="B42" s="259"/>
      <c r="C42" s="260"/>
      <c r="D42" s="268" t="s">
        <v>16</v>
      </c>
      <c r="E42" s="25">
        <f>+Matrix!K12</f>
        <v>0</v>
      </c>
      <c r="F42" s="272" t="s">
        <v>15</v>
      </c>
      <c r="G42" s="273">
        <f>'Wholesale Factors - PCWD'!$I$39</f>
        <v>0.18133755497067983</v>
      </c>
      <c r="H42" s="25">
        <f>E42*G42</f>
        <v>0</v>
      </c>
      <c r="I42" s="25">
        <f>E42-H42</f>
        <v>0</v>
      </c>
      <c r="J42" s="274"/>
    </row>
    <row r="43" spans="1:11" ht="15.75" x14ac:dyDescent="0.25">
      <c r="A43" s="254"/>
      <c r="B43" s="259"/>
      <c r="C43" s="260"/>
      <c r="D43" s="268" t="s">
        <v>19</v>
      </c>
      <c r="E43" s="278">
        <f>Matrix!J12</f>
        <v>3180</v>
      </c>
      <c r="F43" s="272"/>
      <c r="G43" s="273">
        <v>0</v>
      </c>
      <c r="H43" s="278">
        <f t="shared" ref="H43" si="14">E43*G43</f>
        <v>0</v>
      </c>
      <c r="I43" s="278">
        <f>E43</f>
        <v>3180</v>
      </c>
      <c r="J43" s="274"/>
    </row>
    <row r="44" spans="1:11" ht="15.75" x14ac:dyDescent="0.25">
      <c r="A44" s="254"/>
      <c r="B44" s="259"/>
      <c r="C44" s="260" t="s">
        <v>1</v>
      </c>
      <c r="D44" s="268"/>
      <c r="E44" s="25">
        <f>SUM(E36:E43)</f>
        <v>906110</v>
      </c>
      <c r="F44" s="272"/>
      <c r="G44" s="273"/>
      <c r="H44" s="25">
        <f>SUM(H36:H43)</f>
        <v>482396.61566082772</v>
      </c>
      <c r="I44" s="25">
        <f>SUM(I39:I43)</f>
        <v>77350.927022463045</v>
      </c>
      <c r="J44" s="274"/>
    </row>
    <row r="45" spans="1:11" ht="15.75" x14ac:dyDescent="0.25">
      <c r="A45" s="254"/>
      <c r="B45" s="259"/>
      <c r="C45" s="260"/>
      <c r="D45" s="268"/>
      <c r="E45" s="25"/>
      <c r="F45" s="272"/>
      <c r="G45" s="273"/>
      <c r="H45" s="25"/>
      <c r="I45" s="25"/>
      <c r="J45" s="274"/>
    </row>
    <row r="46" spans="1:11" ht="14.1" customHeight="1" x14ac:dyDescent="0.25">
      <c r="A46" s="254"/>
      <c r="B46" s="259"/>
      <c r="C46" s="280" t="s">
        <v>371</v>
      </c>
      <c r="D46" s="281"/>
      <c r="E46" s="25"/>
      <c r="F46" s="25"/>
      <c r="G46" s="275"/>
      <c r="H46" s="25"/>
      <c r="I46" s="25"/>
      <c r="J46" s="274"/>
      <c r="K46" s="260"/>
    </row>
    <row r="47" spans="1:11" ht="14.1" customHeight="1" x14ac:dyDescent="0.25">
      <c r="A47" s="254"/>
      <c r="B47" s="259"/>
      <c r="C47" s="280"/>
      <c r="D47" s="281" t="s">
        <v>372</v>
      </c>
      <c r="E47" s="25"/>
      <c r="F47" s="25"/>
      <c r="G47" s="275"/>
      <c r="H47" s="25"/>
      <c r="I47" s="25"/>
      <c r="J47" s="274"/>
      <c r="K47" s="260"/>
    </row>
    <row r="48" spans="1:11" ht="14.1" customHeight="1" x14ac:dyDescent="0.25">
      <c r="A48" s="254"/>
      <c r="B48" s="259"/>
      <c r="D48" s="282" t="s">
        <v>375</v>
      </c>
      <c r="E48" s="278">
        <f>ROUND((E36/0.88)-E36,0)</f>
        <v>102247</v>
      </c>
      <c r="F48" s="25"/>
      <c r="G48" s="275"/>
      <c r="H48" s="278">
        <f>ROUND((H36/0.88)-H36,0)</f>
        <v>55016</v>
      </c>
      <c r="I48" s="278">
        <f>ROUND((I36/0.88)-I36,0)</f>
        <v>47231</v>
      </c>
      <c r="J48" s="332" t="s">
        <v>392</v>
      </c>
      <c r="K48" s="260"/>
    </row>
    <row r="49" spans="1:11" ht="14.1" customHeight="1" x14ac:dyDescent="0.25">
      <c r="A49" s="254"/>
      <c r="B49" s="259"/>
      <c r="E49" s="25"/>
      <c r="F49" s="25"/>
      <c r="G49" s="275"/>
      <c r="H49" s="25"/>
      <c r="I49" s="25"/>
      <c r="J49" s="274"/>
      <c r="K49" s="260"/>
    </row>
    <row r="50" spans="1:11" ht="15.75" x14ac:dyDescent="0.25">
      <c r="A50" s="254"/>
      <c r="B50" s="259"/>
      <c r="C50" s="283" t="s">
        <v>20</v>
      </c>
      <c r="D50" s="268"/>
      <c r="E50" s="25">
        <f>SUM(E44,E48)</f>
        <v>1008357</v>
      </c>
      <c r="F50" s="25"/>
      <c r="G50" s="275"/>
      <c r="H50" s="25">
        <f>SUM(H44,H48)</f>
        <v>537412.61566082772</v>
      </c>
      <c r="I50" s="25">
        <f>SUM(I44,I48)</f>
        <v>124581.92702246305</v>
      </c>
      <c r="J50" s="274"/>
      <c r="K50" s="260"/>
    </row>
    <row r="51" spans="1:11" ht="6.95" customHeight="1" x14ac:dyDescent="0.25">
      <c r="A51" s="254"/>
      <c r="B51" s="259"/>
      <c r="C51" s="260"/>
      <c r="D51" s="260"/>
      <c r="E51" s="268"/>
      <c r="F51" s="268"/>
      <c r="G51" s="268"/>
      <c r="H51" s="25"/>
      <c r="I51" s="25"/>
      <c r="J51" s="274"/>
      <c r="K51" s="260"/>
    </row>
    <row r="52" spans="1:11" ht="15.75" x14ac:dyDescent="0.25">
      <c r="A52" s="254"/>
      <c r="B52" s="259"/>
      <c r="C52" s="260"/>
      <c r="D52" s="268" t="s">
        <v>21</v>
      </c>
      <c r="E52" s="268"/>
      <c r="F52" s="268"/>
      <c r="G52" s="268"/>
      <c r="H52" s="25">
        <f>'Wholesale Factors - PCWD'!I14</f>
        <v>179578.78</v>
      </c>
      <c r="I52" s="25"/>
      <c r="J52" s="274"/>
      <c r="K52" s="260"/>
    </row>
    <row r="53" spans="1:11" ht="6.95" customHeight="1" x14ac:dyDescent="0.25">
      <c r="A53" s="254"/>
      <c r="B53" s="259"/>
      <c r="C53" s="260"/>
      <c r="E53" s="268"/>
      <c r="F53" s="268"/>
      <c r="G53" s="268"/>
      <c r="H53" s="268"/>
      <c r="I53" s="268"/>
      <c r="J53" s="267"/>
      <c r="K53" s="260"/>
    </row>
    <row r="54" spans="1:11" ht="18" x14ac:dyDescent="0.4">
      <c r="A54" s="254"/>
      <c r="B54" s="259"/>
      <c r="C54" s="284" t="s">
        <v>117</v>
      </c>
      <c r="D54" s="268"/>
      <c r="E54" s="285"/>
      <c r="F54" s="285"/>
      <c r="G54" s="285"/>
      <c r="H54" s="286">
        <f>ROUND(H50/H52,2)</f>
        <v>2.99</v>
      </c>
      <c r="I54" s="287"/>
      <c r="J54" s="288"/>
      <c r="K54" s="289"/>
    </row>
    <row r="55" spans="1:11" ht="18" x14ac:dyDescent="0.4">
      <c r="A55" s="254"/>
      <c r="B55" s="259"/>
      <c r="C55" s="284"/>
      <c r="D55" s="285"/>
      <c r="E55" s="285"/>
      <c r="F55" s="285"/>
      <c r="G55" s="285"/>
      <c r="H55" s="286"/>
      <c r="I55" s="287"/>
      <c r="J55" s="288"/>
      <c r="K55" s="289"/>
    </row>
    <row r="56" spans="1:11" ht="18" x14ac:dyDescent="0.4">
      <c r="A56" s="254"/>
      <c r="B56" s="259"/>
      <c r="C56" s="284" t="s">
        <v>118</v>
      </c>
      <c r="D56" s="285"/>
      <c r="E56" s="285"/>
      <c r="F56" s="285"/>
      <c r="G56" s="285"/>
      <c r="H56" s="286">
        <v>2.65</v>
      </c>
      <c r="I56" s="287"/>
      <c r="J56" s="288"/>
      <c r="K56" s="289"/>
    </row>
    <row r="57" spans="1:11" ht="15.75" x14ac:dyDescent="0.25">
      <c r="A57" s="254"/>
      <c r="B57" s="259"/>
      <c r="C57" s="284" t="s">
        <v>119</v>
      </c>
      <c r="D57" s="285"/>
      <c r="E57" s="285"/>
      <c r="F57" s="285"/>
      <c r="G57" s="285"/>
      <c r="H57" s="290">
        <f>H54-H56</f>
        <v>0.3400000000000003</v>
      </c>
      <c r="I57" s="287"/>
      <c r="J57" s="288"/>
      <c r="K57" s="289"/>
    </row>
    <row r="58" spans="1:11" ht="15.75" x14ac:dyDescent="0.25">
      <c r="A58" s="254"/>
      <c r="B58" s="259"/>
      <c r="C58" s="284" t="s">
        <v>6</v>
      </c>
      <c r="D58" s="285"/>
      <c r="E58" s="285"/>
      <c r="F58" s="285"/>
      <c r="G58" s="285"/>
      <c r="H58" s="291">
        <f>H57/H56</f>
        <v>0.12830188679245294</v>
      </c>
      <c r="I58" s="287"/>
      <c r="J58" s="288"/>
      <c r="K58" s="289"/>
    </row>
    <row r="59" spans="1:11" ht="15.75" x14ac:dyDescent="0.25">
      <c r="A59" s="254"/>
      <c r="B59" s="292"/>
      <c r="C59" s="265"/>
      <c r="D59" s="293"/>
      <c r="E59" s="266"/>
      <c r="F59" s="266"/>
      <c r="G59" s="266"/>
      <c r="H59" s="265"/>
      <c r="I59" s="266"/>
      <c r="J59" s="294"/>
      <c r="K59" s="260"/>
    </row>
    <row r="60" spans="1:11" ht="15.75" x14ac:dyDescent="0.25">
      <c r="C60" s="260"/>
      <c r="D60" s="268"/>
      <c r="E60" s="268"/>
      <c r="F60" s="268"/>
      <c r="G60" s="268"/>
      <c r="H60" s="260"/>
      <c r="I60" s="268"/>
      <c r="J60" s="268"/>
      <c r="K60" s="260"/>
    </row>
    <row r="61" spans="1:11" ht="15.75" x14ac:dyDescent="0.25">
      <c r="C61" s="260"/>
      <c r="D61" s="268"/>
      <c r="E61" s="268"/>
      <c r="F61" s="268"/>
      <c r="G61" s="268"/>
      <c r="H61" s="260"/>
      <c r="I61" s="268"/>
      <c r="J61" s="268"/>
      <c r="K61" s="260"/>
    </row>
    <row r="62" spans="1:11" ht="15.75" x14ac:dyDescent="0.25">
      <c r="C62" s="260"/>
      <c r="D62" s="268"/>
      <c r="E62" s="268"/>
      <c r="F62" s="268"/>
      <c r="G62" s="268"/>
      <c r="H62" s="260"/>
      <c r="I62" s="268"/>
      <c r="J62" s="268"/>
      <c r="K62" s="260"/>
    </row>
    <row r="63" spans="1:11" ht="15.75" x14ac:dyDescent="0.25">
      <c r="C63" s="260"/>
      <c r="D63" s="268"/>
      <c r="E63" s="260"/>
      <c r="F63" s="260"/>
      <c r="G63" s="260"/>
      <c r="H63" s="295"/>
      <c r="I63" s="295"/>
      <c r="J63" s="295"/>
      <c r="K63" s="295"/>
    </row>
    <row r="64" spans="1:11" ht="15.75" x14ac:dyDescent="0.25">
      <c r="C64" s="260"/>
      <c r="D64" s="260"/>
    </row>
    <row r="65" spans="3:11" ht="15.75" x14ac:dyDescent="0.25">
      <c r="C65" s="260"/>
      <c r="D65" s="260"/>
    </row>
    <row r="66" spans="3:11" ht="15.75" x14ac:dyDescent="0.25">
      <c r="C66" s="260"/>
      <c r="D66" s="260"/>
    </row>
    <row r="67" spans="3:11" ht="15.75" x14ac:dyDescent="0.25">
      <c r="C67" s="260"/>
      <c r="D67" s="260"/>
    </row>
    <row r="68" spans="3:11" ht="15.75" x14ac:dyDescent="0.25">
      <c r="C68" s="260"/>
      <c r="D68" s="260"/>
    </row>
    <row r="69" spans="3:11" ht="15.75" x14ac:dyDescent="0.25">
      <c r="C69" s="260"/>
      <c r="D69" s="260"/>
    </row>
    <row r="70" spans="3:11" ht="15.75" x14ac:dyDescent="0.25">
      <c r="C70" s="260"/>
      <c r="D70" s="260"/>
    </row>
    <row r="71" spans="3:11" ht="15.75" x14ac:dyDescent="0.25">
      <c r="C71" s="260"/>
      <c r="D71" s="260"/>
    </row>
    <row r="72" spans="3:11" ht="15.75" x14ac:dyDescent="0.25">
      <c r="C72" s="260"/>
      <c r="D72" s="260"/>
    </row>
    <row r="73" spans="3:11" ht="15.75" x14ac:dyDescent="0.25">
      <c r="C73" s="260"/>
      <c r="D73" s="260"/>
    </row>
    <row r="74" spans="3:11" ht="15.75" x14ac:dyDescent="0.25">
      <c r="C74" s="260"/>
      <c r="D74" s="260"/>
    </row>
    <row r="75" spans="3:11" ht="15.75" x14ac:dyDescent="0.25">
      <c r="C75" s="260"/>
      <c r="D75" s="260"/>
    </row>
    <row r="76" spans="3:11" ht="15.75" x14ac:dyDescent="0.25">
      <c r="C76" s="260"/>
      <c r="D76" s="260"/>
    </row>
    <row r="77" spans="3:11" ht="15.75" x14ac:dyDescent="0.25">
      <c r="C77" s="260"/>
      <c r="D77" s="260"/>
    </row>
    <row r="78" spans="3:11" ht="15.75" x14ac:dyDescent="0.25">
      <c r="C78" s="260"/>
      <c r="D78" s="260"/>
      <c r="E78" s="260"/>
      <c r="F78" s="260"/>
      <c r="G78" s="260"/>
      <c r="H78" s="295"/>
      <c r="I78" s="295"/>
      <c r="J78" s="295"/>
      <c r="K78" s="295"/>
    </row>
    <row r="79" spans="3:11" ht="15.75" x14ac:dyDescent="0.25">
      <c r="C79" s="260"/>
      <c r="D79" s="260"/>
      <c r="E79" s="260"/>
      <c r="F79" s="260"/>
      <c r="G79" s="260"/>
      <c r="H79" s="295"/>
      <c r="I79" s="295"/>
      <c r="J79" s="295"/>
      <c r="K79" s="295"/>
    </row>
    <row r="80" spans="3:11" ht="15.75" x14ac:dyDescent="0.25">
      <c r="C80" s="260"/>
      <c r="D80" s="260"/>
      <c r="E80" s="260"/>
      <c r="F80" s="260"/>
      <c r="G80" s="260"/>
      <c r="H80" s="260"/>
      <c r="I80" s="260"/>
      <c r="J80" s="260"/>
      <c r="K80" s="260"/>
    </row>
    <row r="81" spans="3:11" ht="15.75" x14ac:dyDescent="0.25">
      <c r="C81" s="260"/>
      <c r="D81" s="260"/>
      <c r="E81" s="260"/>
      <c r="F81" s="260"/>
      <c r="G81" s="260"/>
      <c r="H81" s="260"/>
      <c r="I81" s="260"/>
      <c r="J81" s="260"/>
      <c r="K81" s="260"/>
    </row>
    <row r="82" spans="3:11" ht="15.75" x14ac:dyDescent="0.25">
      <c r="C82" s="260"/>
      <c r="D82" s="260"/>
      <c r="E82" s="260"/>
      <c r="F82" s="260"/>
      <c r="G82" s="260"/>
      <c r="H82" s="260"/>
      <c r="I82" s="260"/>
      <c r="J82" s="260"/>
      <c r="K82" s="260"/>
    </row>
    <row r="83" spans="3:11" ht="15.75" x14ac:dyDescent="0.25">
      <c r="C83" s="260"/>
      <c r="D83" s="260"/>
      <c r="E83" s="260"/>
      <c r="F83" s="260"/>
      <c r="G83" s="260"/>
      <c r="H83" s="260"/>
      <c r="I83" s="260"/>
      <c r="J83" s="260"/>
      <c r="K83" s="260"/>
    </row>
    <row r="84" spans="3:11" ht="15.75" x14ac:dyDescent="0.25">
      <c r="D84" s="260"/>
    </row>
  </sheetData>
  <mergeCells count="2">
    <mergeCell ref="C3:J3"/>
    <mergeCell ref="F7:G7"/>
  </mergeCells>
  <printOptions horizontalCentered="1"/>
  <pageMargins left="0.45" right="0.45" top="0.3" bottom="0.3" header="0.3" footer="0.3"/>
  <pageSetup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01498-AB5C-43C8-9749-782E8A88BA76}">
  <dimension ref="B2:AU69"/>
  <sheetViews>
    <sheetView topLeftCell="A10" workbookViewId="0">
      <selection sqref="A1:XFD1048576"/>
    </sheetView>
  </sheetViews>
  <sheetFormatPr defaultColWidth="8.88671875" defaultRowHeight="15.75" x14ac:dyDescent="0.25"/>
  <cols>
    <col min="1" max="1" width="3.44140625" style="194" customWidth="1"/>
    <col min="2" max="2" width="2.6640625" style="194" customWidth="1"/>
    <col min="3" max="8" width="9.6640625" style="194" customWidth="1"/>
    <col min="9" max="9" width="2.77734375" style="194" customWidth="1"/>
    <col min="10" max="10" width="2.44140625" style="194" customWidth="1"/>
    <col min="11" max="11" width="1.77734375" style="194" customWidth="1"/>
    <col min="12" max="12" width="8.88671875" style="194"/>
    <col min="13" max="13" width="1.77734375" style="194" customWidth="1"/>
    <col min="14" max="14" width="11.33203125" style="194" customWidth="1"/>
    <col min="15" max="15" width="1.77734375" style="194" customWidth="1"/>
    <col min="16" max="16" width="11.21875" style="194" customWidth="1"/>
    <col min="17" max="18" width="1.77734375" style="194" customWidth="1"/>
    <col min="19" max="19" width="8.88671875" style="194"/>
    <col min="20" max="20" width="1.77734375" style="194" customWidth="1"/>
    <col min="21" max="21" width="8.88671875" style="194"/>
    <col min="22" max="22" width="1.77734375" style="194" customWidth="1"/>
    <col min="23" max="23" width="8.88671875" style="194"/>
    <col min="24" max="25" width="1.77734375" style="194" customWidth="1"/>
    <col min="26" max="26" width="8.88671875" style="194"/>
    <col min="27" max="27" width="1.77734375" style="194" customWidth="1"/>
    <col min="28" max="28" width="8.88671875" style="194"/>
    <col min="29" max="29" width="1.77734375" style="194" customWidth="1"/>
    <col min="30" max="30" width="8.88671875" style="194"/>
    <col min="31" max="31" width="1.77734375" style="194" customWidth="1"/>
    <col min="32" max="38" width="8.88671875" style="194"/>
    <col min="39" max="47" width="16.77734375" style="194" customWidth="1"/>
    <col min="48" max="16384" width="8.88671875" style="194"/>
  </cols>
  <sheetData>
    <row r="2" spans="2:47" x14ac:dyDescent="0.25">
      <c r="B2" s="191"/>
      <c r="C2" s="192"/>
      <c r="D2" s="192"/>
      <c r="E2" s="192"/>
      <c r="F2" s="192"/>
      <c r="G2" s="192"/>
      <c r="H2" s="192"/>
      <c r="I2" s="193"/>
    </row>
    <row r="3" spans="2:47" ht="18.75" x14ac:dyDescent="0.3">
      <c r="B3" s="195"/>
      <c r="C3" s="345" t="s">
        <v>357</v>
      </c>
      <c r="D3" s="345"/>
      <c r="E3" s="345"/>
      <c r="F3" s="345"/>
      <c r="G3" s="345"/>
      <c r="H3" s="345"/>
      <c r="I3" s="196"/>
    </row>
    <row r="4" spans="2:47" ht="18.75" x14ac:dyDescent="0.3">
      <c r="B4" s="195"/>
      <c r="C4" s="197" t="s">
        <v>23</v>
      </c>
      <c r="D4" s="198"/>
      <c r="E4" s="198"/>
      <c r="F4" s="198"/>
      <c r="G4" s="198"/>
      <c r="H4" s="198"/>
      <c r="I4" s="196"/>
    </row>
    <row r="5" spans="2:47" x14ac:dyDescent="0.25">
      <c r="B5" s="195"/>
      <c r="C5" s="199" t="s">
        <v>130</v>
      </c>
      <c r="D5" s="198"/>
      <c r="E5" s="198"/>
      <c r="F5" s="198"/>
      <c r="G5" s="198"/>
      <c r="H5" s="198"/>
      <c r="I5" s="196"/>
    </row>
    <row r="6" spans="2:47" x14ac:dyDescent="0.25">
      <c r="B6" s="195"/>
      <c r="C6" s="200"/>
      <c r="D6" s="200"/>
      <c r="E6" s="200"/>
      <c r="F6" s="200"/>
      <c r="G6" s="200"/>
      <c r="H6" s="200"/>
      <c r="I6" s="196"/>
    </row>
    <row r="7" spans="2:47" x14ac:dyDescent="0.25">
      <c r="B7" s="195"/>
      <c r="C7" s="200"/>
      <c r="D7" s="200"/>
      <c r="E7" s="200"/>
      <c r="F7" s="200"/>
      <c r="G7" s="200"/>
      <c r="H7" s="200"/>
      <c r="I7" s="196"/>
    </row>
    <row r="8" spans="2:47" x14ac:dyDescent="0.25">
      <c r="B8" s="195"/>
      <c r="C8" s="201" t="s">
        <v>24</v>
      </c>
      <c r="D8" s="201"/>
      <c r="E8" s="202"/>
      <c r="F8" s="202"/>
      <c r="G8" s="202"/>
      <c r="H8" s="202"/>
      <c r="I8" s="196"/>
      <c r="K8" s="203"/>
      <c r="L8" s="347" t="s">
        <v>391</v>
      </c>
      <c r="M8" s="347"/>
      <c r="N8" s="347"/>
      <c r="O8" s="347"/>
      <c r="P8" s="347"/>
      <c r="Q8" s="204"/>
      <c r="R8" s="203"/>
      <c r="S8" s="347" t="s">
        <v>380</v>
      </c>
      <c r="T8" s="347"/>
      <c r="U8" s="347"/>
      <c r="V8" s="347"/>
      <c r="W8" s="347"/>
      <c r="X8" s="204"/>
      <c r="Y8" s="203"/>
      <c r="Z8" s="347" t="s">
        <v>381</v>
      </c>
      <c r="AA8" s="347"/>
      <c r="AB8" s="347"/>
      <c r="AC8" s="347"/>
      <c r="AD8" s="347"/>
      <c r="AE8" s="204"/>
      <c r="AL8" s="200"/>
      <c r="AM8" s="346" t="s">
        <v>129</v>
      </c>
      <c r="AN8" s="346"/>
      <c r="AO8" s="346"/>
      <c r="AP8" s="346"/>
      <c r="AQ8" s="346"/>
      <c r="AR8" s="346"/>
      <c r="AS8" s="346"/>
      <c r="AT8" s="346"/>
    </row>
    <row r="9" spans="2:47" ht="6.95" customHeight="1" x14ac:dyDescent="0.25">
      <c r="B9" s="195"/>
      <c r="C9" s="205"/>
      <c r="D9" s="205"/>
      <c r="E9" s="205"/>
      <c r="F9" s="205"/>
      <c r="G9" s="205"/>
      <c r="H9" s="205"/>
      <c r="I9" s="196"/>
      <c r="K9" s="195"/>
      <c r="Q9" s="196"/>
      <c r="R9" s="195"/>
      <c r="X9" s="196"/>
      <c r="Y9" s="195"/>
      <c r="AE9" s="196"/>
      <c r="AL9" s="200"/>
      <c r="AM9" s="200"/>
      <c r="AN9" s="200"/>
      <c r="AO9" s="200"/>
      <c r="AP9" s="200"/>
      <c r="AQ9" s="200"/>
      <c r="AR9" s="200"/>
      <c r="AS9" s="200"/>
    </row>
    <row r="10" spans="2:47" x14ac:dyDescent="0.25">
      <c r="B10" s="195"/>
      <c r="C10" s="206"/>
      <c r="D10" s="198" t="s">
        <v>25</v>
      </c>
      <c r="E10" s="198"/>
      <c r="F10" s="198"/>
      <c r="G10" s="207" t="s">
        <v>384</v>
      </c>
      <c r="H10" s="198"/>
      <c r="I10" s="196"/>
      <c r="K10" s="195"/>
      <c r="Q10" s="196"/>
      <c r="R10" s="195"/>
      <c r="X10" s="196"/>
      <c r="Y10" s="195"/>
      <c r="AE10" s="196"/>
      <c r="AL10" s="200"/>
      <c r="AM10" s="208" t="s">
        <v>127</v>
      </c>
      <c r="AN10" s="208" t="s">
        <v>128</v>
      </c>
      <c r="AO10" s="208" t="s">
        <v>75</v>
      </c>
      <c r="AP10" s="208" t="s">
        <v>70</v>
      </c>
      <c r="AQ10" s="208" t="s">
        <v>71</v>
      </c>
      <c r="AR10" s="208" t="s">
        <v>74</v>
      </c>
      <c r="AS10" s="208" t="s">
        <v>72</v>
      </c>
      <c r="AT10" s="208" t="s">
        <v>73</v>
      </c>
      <c r="AU10" s="200"/>
    </row>
    <row r="11" spans="2:47" x14ac:dyDescent="0.25">
      <c r="B11" s="195"/>
      <c r="C11" s="209" t="s">
        <v>26</v>
      </c>
      <c r="D11" s="210" t="s">
        <v>27</v>
      </c>
      <c r="E11" s="210" t="s">
        <v>28</v>
      </c>
      <c r="F11" s="210" t="s">
        <v>29</v>
      </c>
      <c r="G11" s="211" t="s">
        <v>28</v>
      </c>
      <c r="H11" s="210" t="s">
        <v>29</v>
      </c>
      <c r="I11" s="196"/>
      <c r="K11" s="195"/>
      <c r="L11" s="212" t="s">
        <v>27</v>
      </c>
      <c r="M11" s="213"/>
      <c r="N11" s="212" t="s">
        <v>28</v>
      </c>
      <c r="O11" s="213"/>
      <c r="P11" s="212" t="s">
        <v>29</v>
      </c>
      <c r="Q11" s="214"/>
      <c r="R11" s="195"/>
      <c r="S11" s="212" t="s">
        <v>27</v>
      </c>
      <c r="T11" s="213"/>
      <c r="U11" s="212" t="s">
        <v>28</v>
      </c>
      <c r="V11" s="213"/>
      <c r="W11" s="212" t="s">
        <v>29</v>
      </c>
      <c r="X11" s="214"/>
      <c r="Y11" s="195"/>
      <c r="Z11" s="212" t="s">
        <v>27</v>
      </c>
      <c r="AA11" s="213"/>
      <c r="AB11" s="212" t="s">
        <v>28</v>
      </c>
      <c r="AC11" s="213"/>
      <c r="AD11" s="212" t="s">
        <v>29</v>
      </c>
      <c r="AE11" s="214"/>
      <c r="AL11" s="27"/>
      <c r="AM11" s="26">
        <v>485</v>
      </c>
      <c r="AN11" s="26">
        <v>572</v>
      </c>
      <c r="AO11" s="26">
        <v>4918</v>
      </c>
      <c r="AP11" s="26">
        <v>6345</v>
      </c>
      <c r="AQ11" s="26">
        <v>5648</v>
      </c>
      <c r="AR11" s="26"/>
      <c r="AS11" s="26">
        <v>2904</v>
      </c>
      <c r="AT11" s="26">
        <v>2856</v>
      </c>
      <c r="AU11" s="200"/>
    </row>
    <row r="12" spans="2:47" x14ac:dyDescent="0.25">
      <c r="B12" s="195"/>
      <c r="C12" s="209" t="s">
        <v>5</v>
      </c>
      <c r="D12" s="209" t="s">
        <v>30</v>
      </c>
      <c r="E12" s="209" t="s">
        <v>31</v>
      </c>
      <c r="F12" s="209" t="s">
        <v>32</v>
      </c>
      <c r="G12" s="215" t="s">
        <v>31</v>
      </c>
      <c r="H12" s="209" t="s">
        <v>32</v>
      </c>
      <c r="I12" s="196"/>
      <c r="K12" s="195"/>
      <c r="L12" s="216" t="s">
        <v>224</v>
      </c>
      <c r="M12" s="213"/>
      <c r="N12" s="216" t="s">
        <v>31</v>
      </c>
      <c r="O12" s="213"/>
      <c r="P12" s="216" t="s">
        <v>32</v>
      </c>
      <c r="Q12" s="214"/>
      <c r="R12" s="195"/>
      <c r="S12" s="216" t="s">
        <v>224</v>
      </c>
      <c r="T12" s="213"/>
      <c r="U12" s="216" t="s">
        <v>31</v>
      </c>
      <c r="V12" s="213"/>
      <c r="W12" s="216" t="s">
        <v>32</v>
      </c>
      <c r="X12" s="214"/>
      <c r="Y12" s="195"/>
      <c r="Z12" s="216" t="s">
        <v>224</v>
      </c>
      <c r="AA12" s="213"/>
      <c r="AB12" s="216" t="s">
        <v>31</v>
      </c>
      <c r="AC12" s="213"/>
      <c r="AD12" s="216" t="s">
        <v>32</v>
      </c>
      <c r="AE12" s="214"/>
      <c r="AL12" s="27"/>
      <c r="AM12" s="26">
        <v>7746</v>
      </c>
      <c r="AN12" s="26"/>
      <c r="AO12" s="26">
        <v>17425</v>
      </c>
      <c r="AP12" s="26">
        <v>22654</v>
      </c>
      <c r="AQ12" s="26">
        <v>9422</v>
      </c>
      <c r="AR12" s="26"/>
      <c r="AS12" s="26"/>
      <c r="AT12" s="26"/>
      <c r="AU12" s="200"/>
    </row>
    <row r="13" spans="2:47" x14ac:dyDescent="0.25">
      <c r="B13" s="195"/>
      <c r="C13" s="217">
        <v>16</v>
      </c>
      <c r="D13" s="26">
        <v>1336</v>
      </c>
      <c r="E13" s="29">
        <f>D13/5280</f>
        <v>0.25303030303030305</v>
      </c>
      <c r="F13" s="30">
        <f>C13*E13</f>
        <v>4.0484848484848488</v>
      </c>
      <c r="G13" s="218">
        <f>U13</f>
        <v>0.22</v>
      </c>
      <c r="H13" s="30">
        <f>C13*G13</f>
        <v>3.52</v>
      </c>
      <c r="I13" s="196"/>
      <c r="K13" s="195"/>
      <c r="L13" s="219">
        <v>0</v>
      </c>
      <c r="N13" s="29">
        <f>ROUND(L13/5280,2)</f>
        <v>0</v>
      </c>
      <c r="O13" s="29"/>
      <c r="P13" s="30">
        <f>ROUND($C13*N13,2)</f>
        <v>0</v>
      </c>
      <c r="Q13" s="220"/>
      <c r="R13" s="195"/>
      <c r="S13" s="219">
        <v>1136</v>
      </c>
      <c r="U13" s="29">
        <f>ROUND(S13/5280,2)</f>
        <v>0.22</v>
      </c>
      <c r="V13" s="29"/>
      <c r="W13" s="30">
        <f>ROUND($C13*U13,2)</f>
        <v>3.52</v>
      </c>
      <c r="X13" s="220"/>
      <c r="Y13" s="195"/>
      <c r="Z13" s="219">
        <f>SUM(L13,S13)</f>
        <v>1136</v>
      </c>
      <c r="AB13" s="29">
        <f>ROUND(Z13/5280,2)</f>
        <v>0.22</v>
      </c>
      <c r="AC13" s="29"/>
      <c r="AD13" s="30">
        <f>ROUND($C13*AB13,2)</f>
        <v>3.52</v>
      </c>
      <c r="AE13" s="220"/>
      <c r="AF13" s="30"/>
      <c r="AG13" s="30"/>
      <c r="AH13" s="30"/>
      <c r="AI13" s="30"/>
      <c r="AJ13" s="30"/>
      <c r="AK13" s="30"/>
      <c r="AL13" s="27"/>
      <c r="AM13" s="26">
        <v>160</v>
      </c>
      <c r="AN13" s="26"/>
      <c r="AO13" s="26">
        <v>846</v>
      </c>
      <c r="AP13" s="26">
        <v>362</v>
      </c>
      <c r="AQ13" s="26">
        <v>3676</v>
      </c>
      <c r="AR13" s="26"/>
      <c r="AS13" s="26"/>
      <c r="AT13" s="26"/>
      <c r="AU13" s="200"/>
    </row>
    <row r="14" spans="2:47" x14ac:dyDescent="0.25">
      <c r="B14" s="195"/>
      <c r="C14" s="217">
        <v>12</v>
      </c>
      <c r="D14" s="26">
        <v>6488</v>
      </c>
      <c r="E14" s="29">
        <f t="shared" ref="E14:E20" si="0">D14/5280</f>
        <v>1.2287878787878788</v>
      </c>
      <c r="F14" s="30">
        <f t="shared" ref="F14:F20" si="1">C14*E14</f>
        <v>14.745454545454546</v>
      </c>
      <c r="G14" s="218">
        <f t="shared" ref="G14:G20" si="2">U14</f>
        <v>0.51</v>
      </c>
      <c r="H14" s="30">
        <f t="shared" ref="H14:H20" si="3">C14*G14</f>
        <v>6.12</v>
      </c>
      <c r="I14" s="196"/>
      <c r="K14" s="195"/>
      <c r="L14" s="219">
        <v>5502</v>
      </c>
      <c r="N14" s="29">
        <f t="shared" ref="N14:N20" si="4">ROUND(L14/5280,2)</f>
        <v>1.04</v>
      </c>
      <c r="O14" s="29"/>
      <c r="P14" s="30">
        <f>ROUND($C14*N14,2)</f>
        <v>12.48</v>
      </c>
      <c r="Q14" s="220"/>
      <c r="R14" s="195"/>
      <c r="S14" s="219">
        <v>2679</v>
      </c>
      <c r="U14" s="29">
        <f t="shared" ref="U14:U20" si="5">ROUND(S14/5280,2)</f>
        <v>0.51</v>
      </c>
      <c r="V14" s="29"/>
      <c r="W14" s="30">
        <f>ROUND($C14*U14,2)</f>
        <v>6.12</v>
      </c>
      <c r="X14" s="220"/>
      <c r="Y14" s="195"/>
      <c r="Z14" s="219">
        <f t="shared" ref="Z14:Z20" si="6">SUM(L14,S14)</f>
        <v>8181</v>
      </c>
      <c r="AB14" s="29">
        <f t="shared" ref="AB14:AB20" si="7">ROUND(Z14/5280,2)</f>
        <v>1.55</v>
      </c>
      <c r="AC14" s="29"/>
      <c r="AD14" s="30">
        <f>ROUND($C14*AB14,2)</f>
        <v>18.600000000000001</v>
      </c>
      <c r="AE14" s="220"/>
      <c r="AF14" s="30"/>
      <c r="AG14" s="30"/>
      <c r="AH14" s="30"/>
      <c r="AI14" s="30"/>
      <c r="AJ14" s="30"/>
      <c r="AK14" s="30"/>
      <c r="AL14" s="27"/>
      <c r="AM14" s="26">
        <v>2796</v>
      </c>
      <c r="AN14" s="26"/>
      <c r="AO14" s="26">
        <v>826</v>
      </c>
      <c r="AP14" s="26">
        <v>1151</v>
      </c>
      <c r="AQ14" s="26">
        <v>11650</v>
      </c>
      <c r="AR14" s="26"/>
      <c r="AS14" s="26"/>
      <c r="AT14" s="26"/>
      <c r="AU14" s="200"/>
    </row>
    <row r="15" spans="2:47" x14ac:dyDescent="0.25">
      <c r="B15" s="195"/>
      <c r="C15" s="217">
        <v>10</v>
      </c>
      <c r="D15" s="26">
        <v>0</v>
      </c>
      <c r="E15" s="29">
        <f t="shared" si="0"/>
        <v>0</v>
      </c>
      <c r="F15" s="30">
        <f t="shared" si="1"/>
        <v>0</v>
      </c>
      <c r="G15" s="218">
        <f t="shared" si="2"/>
        <v>0</v>
      </c>
      <c r="H15" s="30">
        <f t="shared" si="3"/>
        <v>0</v>
      </c>
      <c r="I15" s="196"/>
      <c r="K15" s="195"/>
      <c r="L15" s="219">
        <v>0</v>
      </c>
      <c r="N15" s="29">
        <f t="shared" si="4"/>
        <v>0</v>
      </c>
      <c r="O15" s="29"/>
      <c r="P15" s="30">
        <f t="shared" ref="P15:P20" si="8">ROUND($C15*N15,2)</f>
        <v>0</v>
      </c>
      <c r="Q15" s="220"/>
      <c r="R15" s="195"/>
      <c r="S15" s="219">
        <v>0</v>
      </c>
      <c r="U15" s="29">
        <f t="shared" si="5"/>
        <v>0</v>
      </c>
      <c r="V15" s="29"/>
      <c r="W15" s="30">
        <f t="shared" ref="W15:W20" si="9">ROUND($C15*U15,2)</f>
        <v>0</v>
      </c>
      <c r="X15" s="220"/>
      <c r="Y15" s="195"/>
      <c r="Z15" s="219">
        <f t="shared" si="6"/>
        <v>0</v>
      </c>
      <c r="AB15" s="29">
        <f t="shared" si="7"/>
        <v>0</v>
      </c>
      <c r="AC15" s="29"/>
      <c r="AD15" s="30">
        <f t="shared" ref="AD15:AD20" si="10">ROUND($C15*AB15,2)</f>
        <v>0</v>
      </c>
      <c r="AE15" s="220"/>
      <c r="AF15" s="30"/>
      <c r="AG15" s="30"/>
      <c r="AH15" s="30"/>
      <c r="AI15" s="30"/>
      <c r="AJ15" s="30"/>
      <c r="AK15" s="30"/>
      <c r="AL15" s="27"/>
      <c r="AM15" s="26">
        <v>281</v>
      </c>
      <c r="AN15" s="26"/>
      <c r="AO15" s="26">
        <v>4103</v>
      </c>
      <c r="AP15" s="26">
        <v>345</v>
      </c>
      <c r="AQ15" s="26">
        <v>138</v>
      </c>
      <c r="AR15" s="26"/>
      <c r="AS15" s="26"/>
      <c r="AT15" s="26"/>
      <c r="AU15" s="27"/>
    </row>
    <row r="16" spans="2:47" x14ac:dyDescent="0.25">
      <c r="B16" s="195"/>
      <c r="C16" s="217">
        <v>8</v>
      </c>
      <c r="D16" s="26">
        <v>28318</v>
      </c>
      <c r="E16" s="29">
        <f t="shared" si="0"/>
        <v>5.3632575757575758</v>
      </c>
      <c r="F16" s="30">
        <f t="shared" si="1"/>
        <v>42.906060606060606</v>
      </c>
      <c r="G16" s="218">
        <f t="shared" si="2"/>
        <v>2.0099999999999998</v>
      </c>
      <c r="H16" s="30">
        <f t="shared" si="3"/>
        <v>16.079999999999998</v>
      </c>
      <c r="I16" s="196"/>
      <c r="K16" s="195"/>
      <c r="L16" s="219">
        <v>4492</v>
      </c>
      <c r="N16" s="29">
        <f t="shared" si="4"/>
        <v>0.85</v>
      </c>
      <c r="O16" s="29"/>
      <c r="P16" s="30">
        <f t="shared" si="8"/>
        <v>6.8</v>
      </c>
      <c r="Q16" s="220"/>
      <c r="R16" s="195"/>
      <c r="S16" s="219">
        <v>10596</v>
      </c>
      <c r="U16" s="29">
        <f t="shared" si="5"/>
        <v>2.0099999999999998</v>
      </c>
      <c r="V16" s="29"/>
      <c r="W16" s="30">
        <f t="shared" si="9"/>
        <v>16.079999999999998</v>
      </c>
      <c r="X16" s="220"/>
      <c r="Y16" s="195"/>
      <c r="Z16" s="219">
        <f t="shared" si="6"/>
        <v>15088</v>
      </c>
      <c r="AB16" s="29">
        <f t="shared" si="7"/>
        <v>2.86</v>
      </c>
      <c r="AC16" s="29"/>
      <c r="AD16" s="30">
        <f t="shared" si="10"/>
        <v>22.88</v>
      </c>
      <c r="AE16" s="220"/>
      <c r="AF16" s="30"/>
      <c r="AG16" s="30"/>
      <c r="AH16" s="30"/>
      <c r="AI16" s="30"/>
      <c r="AJ16" s="30"/>
      <c r="AK16" s="30"/>
      <c r="AL16" s="27"/>
      <c r="AM16" s="26"/>
      <c r="AN16" s="26"/>
      <c r="AO16" s="26">
        <v>624</v>
      </c>
      <c r="AP16" s="26">
        <v>1852</v>
      </c>
      <c r="AQ16" s="26">
        <v>7887</v>
      </c>
      <c r="AR16" s="26"/>
      <c r="AS16" s="26"/>
      <c r="AT16" s="26"/>
      <c r="AU16" s="27"/>
    </row>
    <row r="17" spans="2:47" x14ac:dyDescent="0.25">
      <c r="B17" s="195"/>
      <c r="C17" s="217">
        <v>6</v>
      </c>
      <c r="D17" s="28">
        <v>29522</v>
      </c>
      <c r="E17" s="29">
        <f t="shared" si="0"/>
        <v>5.5912878787878784</v>
      </c>
      <c r="F17" s="30">
        <f t="shared" si="1"/>
        <v>33.547727272727272</v>
      </c>
      <c r="G17" s="218">
        <f t="shared" si="2"/>
        <v>0</v>
      </c>
      <c r="H17" s="30">
        <f t="shared" si="3"/>
        <v>0</v>
      </c>
      <c r="I17" s="196"/>
      <c r="K17" s="195"/>
      <c r="L17" s="219">
        <v>6653</v>
      </c>
      <c r="N17" s="29">
        <f t="shared" si="4"/>
        <v>1.26</v>
      </c>
      <c r="O17" s="29"/>
      <c r="P17" s="30">
        <f t="shared" si="8"/>
        <v>7.56</v>
      </c>
      <c r="Q17" s="220"/>
      <c r="R17" s="195"/>
      <c r="S17" s="219">
        <v>0</v>
      </c>
      <c r="U17" s="29">
        <f t="shared" si="5"/>
        <v>0</v>
      </c>
      <c r="V17" s="29"/>
      <c r="W17" s="30">
        <f t="shared" si="9"/>
        <v>0</v>
      </c>
      <c r="X17" s="220"/>
      <c r="Y17" s="195"/>
      <c r="Z17" s="219">
        <f t="shared" si="6"/>
        <v>6653</v>
      </c>
      <c r="AB17" s="29">
        <f t="shared" si="7"/>
        <v>1.26</v>
      </c>
      <c r="AC17" s="29"/>
      <c r="AD17" s="30">
        <f t="shared" si="10"/>
        <v>7.56</v>
      </c>
      <c r="AE17" s="220"/>
      <c r="AF17" s="30"/>
      <c r="AG17" s="30"/>
      <c r="AH17" s="30"/>
      <c r="AI17" s="30"/>
      <c r="AJ17" s="30"/>
      <c r="AK17" s="30"/>
      <c r="AL17" s="27"/>
      <c r="AM17" s="26"/>
      <c r="AN17" s="26"/>
      <c r="AO17" s="26"/>
      <c r="AP17" s="26"/>
      <c r="AQ17" s="26"/>
      <c r="AR17" s="26"/>
      <c r="AS17" s="26"/>
      <c r="AT17" s="26"/>
      <c r="AU17" s="27"/>
    </row>
    <row r="18" spans="2:47" x14ac:dyDescent="0.25">
      <c r="B18" s="195"/>
      <c r="C18" s="217">
        <v>4</v>
      </c>
      <c r="D18" s="28">
        <v>30476</v>
      </c>
      <c r="E18" s="29">
        <f t="shared" si="0"/>
        <v>5.7719696969696965</v>
      </c>
      <c r="F18" s="30">
        <f t="shared" si="1"/>
        <v>23.087878787878786</v>
      </c>
      <c r="G18" s="218">
        <f t="shared" si="2"/>
        <v>0</v>
      </c>
      <c r="H18" s="30">
        <f t="shared" si="3"/>
        <v>0</v>
      </c>
      <c r="I18" s="196"/>
      <c r="K18" s="195"/>
      <c r="L18" s="219">
        <v>4905</v>
      </c>
      <c r="N18" s="29">
        <f t="shared" si="4"/>
        <v>0.93</v>
      </c>
      <c r="O18" s="29"/>
      <c r="P18" s="30">
        <f t="shared" si="8"/>
        <v>3.72</v>
      </c>
      <c r="Q18" s="220"/>
      <c r="R18" s="195"/>
      <c r="S18" s="219">
        <v>0</v>
      </c>
      <c r="U18" s="29">
        <f t="shared" si="5"/>
        <v>0</v>
      </c>
      <c r="V18" s="29"/>
      <c r="W18" s="30">
        <f t="shared" si="9"/>
        <v>0</v>
      </c>
      <c r="X18" s="220"/>
      <c r="Y18" s="195"/>
      <c r="Z18" s="219">
        <f t="shared" si="6"/>
        <v>4905</v>
      </c>
      <c r="AB18" s="29">
        <f t="shared" si="7"/>
        <v>0.93</v>
      </c>
      <c r="AC18" s="29"/>
      <c r="AD18" s="30">
        <f t="shared" si="10"/>
        <v>3.72</v>
      </c>
      <c r="AE18" s="220"/>
      <c r="AF18" s="30"/>
      <c r="AG18" s="30"/>
      <c r="AH18" s="30"/>
      <c r="AI18" s="30"/>
      <c r="AJ18" s="30"/>
      <c r="AK18" s="30"/>
      <c r="AL18" s="27" t="s">
        <v>121</v>
      </c>
      <c r="AM18" s="26">
        <f>SUM(AM11:AM17)</f>
        <v>11468</v>
      </c>
      <c r="AN18" s="26">
        <f t="shared" ref="AN18:AT18" si="11">SUM(AN11:AN17)</f>
        <v>572</v>
      </c>
      <c r="AO18" s="26">
        <f t="shared" si="11"/>
        <v>28742</v>
      </c>
      <c r="AP18" s="26">
        <f t="shared" si="11"/>
        <v>32709</v>
      </c>
      <c r="AQ18" s="26">
        <f t="shared" si="11"/>
        <v>38421</v>
      </c>
      <c r="AR18" s="26">
        <f t="shared" si="11"/>
        <v>0</v>
      </c>
      <c r="AS18" s="26">
        <f t="shared" si="11"/>
        <v>2904</v>
      </c>
      <c r="AT18" s="26">
        <f t="shared" si="11"/>
        <v>2856</v>
      </c>
      <c r="AU18" s="221">
        <f>SUM(AM18:AT18)</f>
        <v>117672</v>
      </c>
    </row>
    <row r="19" spans="2:47" x14ac:dyDescent="0.25">
      <c r="B19" s="195"/>
      <c r="C19" s="217">
        <v>2</v>
      </c>
      <c r="D19" s="28">
        <v>7692</v>
      </c>
      <c r="E19" s="29">
        <f t="shared" si="0"/>
        <v>1.4568181818181818</v>
      </c>
      <c r="F19" s="30">
        <f t="shared" si="1"/>
        <v>2.9136363636363636</v>
      </c>
      <c r="G19" s="218">
        <f>U19</f>
        <v>0</v>
      </c>
      <c r="H19" s="30">
        <f t="shared" si="3"/>
        <v>0</v>
      </c>
      <c r="I19" s="196"/>
      <c r="K19" s="195"/>
      <c r="L19" s="219">
        <v>0</v>
      </c>
      <c r="N19" s="29">
        <f t="shared" si="4"/>
        <v>0</v>
      </c>
      <c r="O19" s="29"/>
      <c r="P19" s="30">
        <f t="shared" si="8"/>
        <v>0</v>
      </c>
      <c r="Q19" s="220"/>
      <c r="R19" s="195"/>
      <c r="S19" s="219">
        <v>0</v>
      </c>
      <c r="U19" s="29">
        <f t="shared" si="5"/>
        <v>0</v>
      </c>
      <c r="V19" s="29"/>
      <c r="W19" s="30">
        <f t="shared" si="9"/>
        <v>0</v>
      </c>
      <c r="X19" s="220"/>
      <c r="Y19" s="195"/>
      <c r="Z19" s="219">
        <f t="shared" si="6"/>
        <v>0</v>
      </c>
      <c r="AB19" s="29">
        <f t="shared" si="7"/>
        <v>0</v>
      </c>
      <c r="AC19" s="29"/>
      <c r="AD19" s="30">
        <f t="shared" si="10"/>
        <v>0</v>
      </c>
      <c r="AE19" s="220"/>
      <c r="AF19" s="30"/>
      <c r="AG19" s="30"/>
      <c r="AH19" s="30"/>
      <c r="AI19" s="30"/>
      <c r="AJ19" s="30"/>
      <c r="AK19" s="30"/>
      <c r="AL19" s="27" t="s">
        <v>76</v>
      </c>
      <c r="AM19" s="27">
        <f t="shared" ref="AM19:AN19" si="12">AM18/5280</f>
        <v>2.1719696969696969</v>
      </c>
      <c r="AN19" s="27">
        <f t="shared" si="12"/>
        <v>0.10833333333333334</v>
      </c>
      <c r="AO19" s="27">
        <f>AO18/5280</f>
        <v>5.4435606060606059</v>
      </c>
      <c r="AP19" s="27">
        <f t="shared" ref="AP19:AT19" si="13">AP18/5280</f>
        <v>6.194886363636364</v>
      </c>
      <c r="AQ19" s="27">
        <f t="shared" si="13"/>
        <v>7.2767045454545451</v>
      </c>
      <c r="AR19" s="27">
        <f t="shared" si="13"/>
        <v>0</v>
      </c>
      <c r="AS19" s="27">
        <f t="shared" si="13"/>
        <v>0.55000000000000004</v>
      </c>
      <c r="AT19" s="27">
        <f t="shared" si="13"/>
        <v>0.54090909090909089</v>
      </c>
      <c r="AU19" s="27">
        <f>SUM(AM19:AT19)</f>
        <v>22.286363636363635</v>
      </c>
    </row>
    <row r="20" spans="2:47" x14ac:dyDescent="0.25">
      <c r="B20" s="195"/>
      <c r="C20" s="217">
        <v>1</v>
      </c>
      <c r="D20" s="222">
        <v>1697</v>
      </c>
      <c r="E20" s="223">
        <f t="shared" si="0"/>
        <v>0.32140151515151516</v>
      </c>
      <c r="F20" s="224">
        <f t="shared" si="1"/>
        <v>0.32140151515151516</v>
      </c>
      <c r="G20" s="218">
        <f t="shared" si="2"/>
        <v>0</v>
      </c>
      <c r="H20" s="226">
        <f t="shared" si="3"/>
        <v>0</v>
      </c>
      <c r="I20" s="227"/>
      <c r="K20" s="195"/>
      <c r="L20" s="228">
        <v>0</v>
      </c>
      <c r="N20" s="223">
        <f t="shared" si="4"/>
        <v>0</v>
      </c>
      <c r="O20" s="29"/>
      <c r="P20" s="226">
        <f t="shared" si="8"/>
        <v>0</v>
      </c>
      <c r="Q20" s="220"/>
      <c r="R20" s="195"/>
      <c r="S20" s="228">
        <v>0</v>
      </c>
      <c r="U20" s="223">
        <f t="shared" si="5"/>
        <v>0</v>
      </c>
      <c r="V20" s="29"/>
      <c r="W20" s="226">
        <f t="shared" si="9"/>
        <v>0</v>
      </c>
      <c r="X20" s="220"/>
      <c r="Y20" s="195"/>
      <c r="Z20" s="228">
        <f t="shared" si="6"/>
        <v>0</v>
      </c>
      <c r="AB20" s="223">
        <f t="shared" si="7"/>
        <v>0</v>
      </c>
      <c r="AC20" s="29"/>
      <c r="AD20" s="226">
        <f t="shared" si="10"/>
        <v>0</v>
      </c>
      <c r="AE20" s="220"/>
      <c r="AF20" s="30"/>
      <c r="AG20" s="30"/>
      <c r="AH20" s="30"/>
      <c r="AI20" s="30"/>
      <c r="AJ20" s="30"/>
      <c r="AK20" s="30"/>
      <c r="AL20" s="27"/>
      <c r="AM20" s="26"/>
      <c r="AN20" s="26"/>
      <c r="AO20" s="26"/>
      <c r="AP20" s="26"/>
      <c r="AQ20" s="26"/>
      <c r="AR20" s="26"/>
      <c r="AS20" s="26"/>
      <c r="AT20" s="26"/>
      <c r="AU20" s="27"/>
    </row>
    <row r="21" spans="2:47" x14ac:dyDescent="0.25">
      <c r="B21" s="195"/>
      <c r="C21" s="217" t="s">
        <v>4</v>
      </c>
      <c r="D21" s="28">
        <f>SUM(D13:D20)</f>
        <v>105529</v>
      </c>
      <c r="E21" s="29">
        <f>SUM(E13:E20)</f>
        <v>19.986553030303032</v>
      </c>
      <c r="F21" s="29">
        <f>SUM(F13:F20)</f>
        <v>121.57064393939395</v>
      </c>
      <c r="G21" s="29">
        <f>SUM(G13:G20)</f>
        <v>2.7399999999999998</v>
      </c>
      <c r="H21" s="29">
        <f>SUM(H13:H20)</f>
        <v>25.72</v>
      </c>
      <c r="I21" s="196"/>
      <c r="K21" s="229"/>
      <c r="L21" s="228">
        <f>SUM(L13:L20)</f>
        <v>21552</v>
      </c>
      <c r="M21" s="230"/>
      <c r="N21" s="230">
        <f t="shared" ref="N21:P21" si="14">SUM(N13:N20)</f>
        <v>4.08</v>
      </c>
      <c r="O21" s="230"/>
      <c r="P21" s="230">
        <f t="shared" si="14"/>
        <v>30.56</v>
      </c>
      <c r="Q21" s="227"/>
      <c r="R21" s="229"/>
      <c r="S21" s="228">
        <f>SUM(S13:S20)</f>
        <v>14411</v>
      </c>
      <c r="T21" s="230"/>
      <c r="U21" s="230">
        <f t="shared" ref="U21" si="15">SUM(U13:U20)</f>
        <v>2.7399999999999998</v>
      </c>
      <c r="V21" s="230"/>
      <c r="W21" s="230">
        <f t="shared" ref="W21" si="16">SUM(W13:W20)</f>
        <v>25.72</v>
      </c>
      <c r="X21" s="227"/>
      <c r="Y21" s="229"/>
      <c r="Z21" s="228">
        <f>SUM(Z13:Z20)</f>
        <v>35963</v>
      </c>
      <c r="AA21" s="230"/>
      <c r="AB21" s="230">
        <f t="shared" ref="AB21" si="17">SUM(AB13:AB20)</f>
        <v>6.8199999999999994</v>
      </c>
      <c r="AC21" s="230"/>
      <c r="AD21" s="230">
        <f t="shared" ref="AD21" si="18">SUM(AD13:AD20)</f>
        <v>56.28</v>
      </c>
      <c r="AE21" s="227"/>
      <c r="AL21" s="27"/>
      <c r="AM21" s="346" t="s">
        <v>354</v>
      </c>
      <c r="AN21" s="346"/>
      <c r="AO21" s="346"/>
      <c r="AP21" s="346"/>
      <c r="AQ21" s="346"/>
      <c r="AR21" s="346"/>
      <c r="AS21" s="346"/>
      <c r="AT21" s="346"/>
      <c r="AU21" s="27"/>
    </row>
    <row r="22" spans="2:47" x14ac:dyDescent="0.25">
      <c r="B22" s="195"/>
      <c r="C22" s="200"/>
      <c r="D22" s="200"/>
      <c r="E22" s="200"/>
      <c r="F22" s="200"/>
      <c r="G22" s="200"/>
      <c r="H22" s="200"/>
      <c r="I22" s="196"/>
      <c r="AL22" s="27"/>
      <c r="AM22" s="27" t="e">
        <f>#REF!</f>
        <v>#REF!</v>
      </c>
      <c r="AN22" s="27" t="e">
        <f>#REF!</f>
        <v>#REF!</v>
      </c>
      <c r="AO22" s="27" t="e">
        <f>#REF!</f>
        <v>#REF!</v>
      </c>
      <c r="AP22" s="27" t="e">
        <f>#REF!</f>
        <v>#REF!</v>
      </c>
      <c r="AQ22" s="27" t="e">
        <f>#REF!</f>
        <v>#REF!</v>
      </c>
      <c r="AR22" s="27" t="e">
        <f>#REF!</f>
        <v>#REF!</v>
      </c>
      <c r="AS22" s="27" t="e">
        <f>#REF!</f>
        <v>#REF!</v>
      </c>
      <c r="AT22" s="27" t="e">
        <f>#REF!</f>
        <v>#REF!</v>
      </c>
      <c r="AU22" s="27" t="e">
        <f>SUM(AM22:AT22)</f>
        <v>#REF!</v>
      </c>
    </row>
    <row r="23" spans="2:47" x14ac:dyDescent="0.25">
      <c r="B23" s="195"/>
      <c r="C23" s="200"/>
      <c r="D23" s="200"/>
      <c r="E23" s="200"/>
      <c r="F23" s="200"/>
      <c r="G23" s="200"/>
      <c r="H23" s="200"/>
      <c r="I23" s="196"/>
      <c r="AL23" s="27"/>
      <c r="AM23" s="26"/>
      <c r="AN23" s="26"/>
      <c r="AO23" s="26"/>
      <c r="AP23" s="26"/>
      <c r="AQ23" s="26"/>
      <c r="AR23" s="26"/>
      <c r="AS23" s="26"/>
      <c r="AT23" s="26"/>
      <c r="AU23" s="27"/>
    </row>
    <row r="24" spans="2:47" x14ac:dyDescent="0.25">
      <c r="B24" s="195"/>
      <c r="C24" s="200"/>
      <c r="D24" s="200"/>
      <c r="E24" s="200"/>
      <c r="F24" s="200"/>
      <c r="G24" s="200"/>
      <c r="H24" s="200"/>
      <c r="I24" s="196"/>
      <c r="AL24" s="27"/>
      <c r="AM24" s="231">
        <v>2</v>
      </c>
      <c r="AN24" s="231">
        <v>3</v>
      </c>
      <c r="AO24" s="231">
        <v>4</v>
      </c>
      <c r="AP24" s="231">
        <v>6</v>
      </c>
      <c r="AQ24" s="231">
        <v>8</v>
      </c>
      <c r="AR24" s="231">
        <v>10</v>
      </c>
      <c r="AS24" s="231">
        <v>12</v>
      </c>
      <c r="AT24" s="231">
        <v>16</v>
      </c>
      <c r="AU24" s="232" t="s">
        <v>355</v>
      </c>
    </row>
    <row r="25" spans="2:47" x14ac:dyDescent="0.25">
      <c r="B25" s="195"/>
      <c r="C25" s="200"/>
      <c r="D25" s="201" t="s">
        <v>33</v>
      </c>
      <c r="E25" s="201"/>
      <c r="F25" s="201"/>
      <c r="G25" s="201"/>
      <c r="H25" s="200"/>
      <c r="I25" s="196"/>
      <c r="AL25" s="27" t="s">
        <v>343</v>
      </c>
      <c r="AM25" s="233" t="e">
        <f>#REF!</f>
        <v>#REF!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4" t="e">
        <f>SUM(AM25:AT25)</f>
        <v>#REF!</v>
      </c>
    </row>
    <row r="26" spans="2:47" ht="6.95" customHeight="1" x14ac:dyDescent="0.25">
      <c r="B26" s="195"/>
      <c r="C26" s="200"/>
      <c r="D26" s="205"/>
      <c r="E26" s="205"/>
      <c r="F26" s="205"/>
      <c r="G26" s="205"/>
      <c r="H26" s="200"/>
      <c r="I26" s="196"/>
      <c r="AL26" s="27"/>
      <c r="AM26" s="26"/>
      <c r="AN26" s="26"/>
      <c r="AO26" s="26"/>
      <c r="AP26" s="26"/>
      <c r="AQ26" s="26"/>
      <c r="AR26" s="26"/>
      <c r="AS26" s="26"/>
      <c r="AT26" s="27"/>
      <c r="AU26" s="234"/>
    </row>
    <row r="27" spans="2:47" x14ac:dyDescent="0.25">
      <c r="B27" s="195"/>
      <c r="C27" s="200"/>
      <c r="D27" s="200"/>
      <c r="E27" s="200"/>
      <c r="F27" s="209" t="s">
        <v>34</v>
      </c>
      <c r="G27" s="209"/>
      <c r="H27" s="200"/>
      <c r="I27" s="196"/>
      <c r="AL27" s="194" t="s">
        <v>344</v>
      </c>
      <c r="AM27" s="233" t="e">
        <f>#REF!</f>
        <v>#REF!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4" t="e">
        <f>SUM(AM27:AT27)</f>
        <v>#REF!</v>
      </c>
    </row>
    <row r="28" spans="2:47" ht="16.5" thickBot="1" x14ac:dyDescent="0.3">
      <c r="B28" s="195"/>
      <c r="C28" s="200"/>
      <c r="D28" s="200"/>
      <c r="E28" s="200"/>
      <c r="F28" s="209" t="s">
        <v>35</v>
      </c>
      <c r="G28" s="209" t="s">
        <v>6</v>
      </c>
      <c r="H28" s="200"/>
      <c r="I28" s="196"/>
      <c r="AL28" s="194" t="s">
        <v>10</v>
      </c>
      <c r="AM28" s="235" t="e">
        <f>SUM(AM25:AM27)</f>
        <v>#REF!</v>
      </c>
      <c r="AN28" s="235" t="e">
        <f t="shared" ref="AN28:AO28" si="19">SUM(AN25:AN27)</f>
        <v>#REF!</v>
      </c>
      <c r="AO28" s="235" t="e">
        <f t="shared" si="19"/>
        <v>#REF!</v>
      </c>
      <c r="AP28" s="235" t="e">
        <f>SUM(AP25:AP27)</f>
        <v>#REF!</v>
      </c>
      <c r="AQ28" s="235" t="e">
        <f>SUM(AQ25:AQ27)</f>
        <v>#REF!</v>
      </c>
      <c r="AR28" s="235" t="e">
        <f>SUM(AR25:AR27)</f>
        <v>#REF!</v>
      </c>
      <c r="AS28" s="235" t="e">
        <f>SUM(AS25:AS27)</f>
        <v>#REF!</v>
      </c>
      <c r="AT28" s="235" t="e">
        <f>SUM(AT25:AT27)</f>
        <v>#REF!</v>
      </c>
      <c r="AU28" s="235" t="e">
        <f>SUM(AM28:AT28)</f>
        <v>#REF!</v>
      </c>
    </row>
    <row r="29" spans="2:47" ht="16.5" thickTop="1" x14ac:dyDescent="0.25">
      <c r="B29" s="195"/>
      <c r="C29" s="200"/>
      <c r="D29" s="236" t="s">
        <v>59</v>
      </c>
      <c r="E29" s="236"/>
      <c r="F29" s="237">
        <v>326664.59100000001</v>
      </c>
      <c r="G29" s="236"/>
      <c r="H29" s="200"/>
      <c r="I29" s="196"/>
      <c r="L29" t="s">
        <v>221</v>
      </c>
      <c r="N29" s="238">
        <v>107868580</v>
      </c>
      <c r="P29" s="239">
        <f>N29/1000</f>
        <v>107868.58</v>
      </c>
      <c r="AL29" s="200"/>
      <c r="AM29" s="200"/>
      <c r="AN29" s="200"/>
      <c r="AO29" s="200"/>
      <c r="AP29" s="200"/>
      <c r="AQ29" s="200"/>
      <c r="AR29" s="200"/>
      <c r="AS29" s="27"/>
    </row>
    <row r="30" spans="2:47" x14ac:dyDescent="0.25">
      <c r="B30" s="195"/>
      <c r="C30" s="200"/>
      <c r="D30" s="236" t="s">
        <v>36</v>
      </c>
      <c r="E30" s="236"/>
      <c r="F30" s="237">
        <f>AN51/1000</f>
        <v>69359.62</v>
      </c>
      <c r="G30" s="240">
        <f>F30/F32</f>
        <v>0.39135769589715402</v>
      </c>
      <c r="H30" s="200"/>
      <c r="I30" s="196"/>
      <c r="L30" t="s">
        <v>222</v>
      </c>
      <c r="N30" s="238">
        <v>71710200</v>
      </c>
      <c r="P30" s="239">
        <f>N30/1000</f>
        <v>71710.2</v>
      </c>
    </row>
    <row r="31" spans="2:47" ht="16.5" thickBot="1" x14ac:dyDescent="0.3">
      <c r="B31" s="195"/>
      <c r="C31" s="200"/>
      <c r="D31" s="236" t="s">
        <v>37</v>
      </c>
      <c r="E31" s="236"/>
      <c r="F31" s="237">
        <f>P29</f>
        <v>107868.58</v>
      </c>
      <c r="G31" s="240">
        <f>F31/F32</f>
        <v>0.60864230410284592</v>
      </c>
      <c r="H31" s="200"/>
      <c r="I31" s="196"/>
      <c r="L31" t="s">
        <v>223</v>
      </c>
      <c r="N31" s="241">
        <f>SUM(N29:N30)</f>
        <v>179578780</v>
      </c>
      <c r="P31" s="239">
        <f>SUM(P29:P30)</f>
        <v>179578.78</v>
      </c>
    </row>
    <row r="32" spans="2:47" ht="16.5" thickTop="1" x14ac:dyDescent="0.25">
      <c r="B32" s="195"/>
      <c r="C32" s="200"/>
      <c r="D32" s="236" t="s">
        <v>38</v>
      </c>
      <c r="E32" s="236"/>
      <c r="F32" s="237">
        <f>SUM(F30:F31)</f>
        <v>177228.2</v>
      </c>
      <c r="G32" s="240"/>
      <c r="H32" s="200"/>
      <c r="I32" s="196"/>
    </row>
    <row r="33" spans="2:45" x14ac:dyDescent="0.25">
      <c r="B33" s="195"/>
      <c r="C33" s="200"/>
      <c r="D33" s="236"/>
      <c r="E33" s="236"/>
      <c r="F33" s="237"/>
      <c r="G33" s="240"/>
      <c r="H33" s="200"/>
      <c r="I33" s="196"/>
    </row>
    <row r="34" spans="2:45" x14ac:dyDescent="0.25">
      <c r="B34" s="195"/>
      <c r="C34" s="200"/>
      <c r="D34" s="236" t="s">
        <v>60</v>
      </c>
      <c r="E34" s="236"/>
      <c r="F34" s="237">
        <v>7809.8280000000004</v>
      </c>
      <c r="G34" s="240">
        <f>F34/$F$29</f>
        <v>2.3907788646734596E-2</v>
      </c>
      <c r="H34" s="200"/>
      <c r="I34" s="196"/>
    </row>
    <row r="35" spans="2:45" x14ac:dyDescent="0.25">
      <c r="B35" s="195"/>
      <c r="C35" s="200"/>
      <c r="D35" s="236" t="s">
        <v>39</v>
      </c>
      <c r="E35" s="236"/>
      <c r="F35" s="237">
        <f>1160.515+12</f>
        <v>1172.5150000000001</v>
      </c>
      <c r="G35" s="240">
        <f>F35/$F$29</f>
        <v>3.5893544397041796E-3</v>
      </c>
      <c r="H35" s="200"/>
      <c r="I35" s="196"/>
    </row>
    <row r="36" spans="2:45" x14ac:dyDescent="0.25">
      <c r="B36" s="195"/>
      <c r="C36" s="200"/>
      <c r="D36" s="236" t="s">
        <v>40</v>
      </c>
      <c r="E36" s="236"/>
      <c r="F36" s="237">
        <f>F29-F32-F34-F35</f>
        <v>140454.04799999998</v>
      </c>
      <c r="G36" s="240">
        <f>F36/$F$29</f>
        <v>0.42996410345558383</v>
      </c>
      <c r="H36" s="200"/>
      <c r="I36" s="196"/>
    </row>
    <row r="37" spans="2:45" x14ac:dyDescent="0.25">
      <c r="B37" s="195"/>
      <c r="C37" s="200"/>
      <c r="D37" s="236" t="s">
        <v>382</v>
      </c>
      <c r="E37" s="236"/>
      <c r="F37" s="237"/>
      <c r="G37" s="240">
        <v>-0.15</v>
      </c>
      <c r="H37" s="200"/>
      <c r="I37" s="196"/>
    </row>
    <row r="38" spans="2:45" x14ac:dyDescent="0.25">
      <c r="B38" s="195"/>
      <c r="C38" s="200"/>
      <c r="D38" s="236" t="s">
        <v>383</v>
      </c>
      <c r="E38" s="236"/>
      <c r="F38" s="237"/>
      <c r="G38" s="240">
        <f>SUM(G36:G37)</f>
        <v>0.27996410345558387</v>
      </c>
      <c r="H38" s="200"/>
      <c r="I38" s="196"/>
    </row>
    <row r="39" spans="2:45" x14ac:dyDescent="0.25">
      <c r="B39" s="229"/>
      <c r="C39" s="242"/>
      <c r="D39" s="242"/>
      <c r="E39" s="243"/>
      <c r="F39" s="242"/>
      <c r="G39" s="242"/>
      <c r="H39" s="242"/>
      <c r="I39" s="227"/>
    </row>
    <row r="40" spans="2:45" x14ac:dyDescent="0.25">
      <c r="AS40" s="200"/>
    </row>
    <row r="41" spans="2:45" x14ac:dyDescent="0.25">
      <c r="C41" s="217"/>
      <c r="D41" s="28"/>
      <c r="E41" s="29"/>
      <c r="F41" s="30"/>
      <c r="G41" s="244"/>
      <c r="H41" s="30"/>
    </row>
    <row r="42" spans="2:45" x14ac:dyDescent="0.25">
      <c r="F42" s="245"/>
    </row>
    <row r="45" spans="2:45" x14ac:dyDescent="0.25">
      <c r="AL45" t="s">
        <v>308</v>
      </c>
      <c r="AM45"/>
      <c r="AN45" s="238">
        <v>48609.120000000003</v>
      </c>
      <c r="AO45" s="246">
        <v>48609120</v>
      </c>
    </row>
    <row r="46" spans="2:45" x14ac:dyDescent="0.25">
      <c r="AL46" t="s">
        <v>309</v>
      </c>
      <c r="AM46"/>
      <c r="AN46" s="246">
        <v>15447478</v>
      </c>
      <c r="AO46" s="246">
        <v>15447478000</v>
      </c>
    </row>
    <row r="47" spans="2:45" x14ac:dyDescent="0.25">
      <c r="AL47" s="247" t="s">
        <v>38</v>
      </c>
      <c r="AM47" s="246"/>
      <c r="AN47" s="246">
        <v>15496087.119999999</v>
      </c>
      <c r="AO47" s="246">
        <v>15496087120</v>
      </c>
    </row>
    <row r="49" spans="38:42" x14ac:dyDescent="0.25">
      <c r="AN49" s="246">
        <v>333745498</v>
      </c>
    </row>
    <row r="51" spans="38:42" x14ac:dyDescent="0.25">
      <c r="AL51" t="s">
        <v>308</v>
      </c>
      <c r="AM51"/>
      <c r="AN51" s="238">
        <v>69359620</v>
      </c>
    </row>
    <row r="52" spans="38:42" x14ac:dyDescent="0.25">
      <c r="AL52" t="s">
        <v>309</v>
      </c>
      <c r="AM52"/>
      <c r="AN52"/>
    </row>
    <row r="53" spans="38:42" x14ac:dyDescent="0.25">
      <c r="AL53" t="s">
        <v>310</v>
      </c>
      <c r="AM53"/>
      <c r="AN53" s="238">
        <v>248938400</v>
      </c>
    </row>
    <row r="54" spans="38:42" x14ac:dyDescent="0.25">
      <c r="AL54" t="s">
        <v>311</v>
      </c>
      <c r="AM54"/>
      <c r="AN54" s="238">
        <v>15447478</v>
      </c>
    </row>
    <row r="55" spans="38:42" x14ac:dyDescent="0.25">
      <c r="AL55" s="248" t="s">
        <v>10</v>
      </c>
      <c r="AM55"/>
      <c r="AN55" s="249">
        <f>SUM(AN53:AN54)</f>
        <v>264385878</v>
      </c>
    </row>
    <row r="59" spans="38:42" x14ac:dyDescent="0.25">
      <c r="AN59" s="212"/>
      <c r="AO59" s="212" t="s">
        <v>341</v>
      </c>
      <c r="AP59" s="212"/>
    </row>
    <row r="60" spans="38:42" x14ac:dyDescent="0.25">
      <c r="AN60" s="250" t="s">
        <v>310</v>
      </c>
      <c r="AO60" s="216" t="s">
        <v>9</v>
      </c>
      <c r="AP60" s="216" t="s">
        <v>341</v>
      </c>
    </row>
    <row r="61" spans="38:42" x14ac:dyDescent="0.25">
      <c r="AL61" s="194" t="s">
        <v>57</v>
      </c>
      <c r="AN61" s="251">
        <v>326664.59999999998</v>
      </c>
      <c r="AO61" s="251"/>
      <c r="AP61" s="251">
        <f>SUM(AN61:AO61)</f>
        <v>326664.59999999998</v>
      </c>
    </row>
    <row r="62" spans="38:42" x14ac:dyDescent="0.25">
      <c r="AL62" s="194" t="s">
        <v>336</v>
      </c>
      <c r="AN62" s="251">
        <v>-69359.600000000006</v>
      </c>
      <c r="AO62" s="251"/>
      <c r="AP62" s="251">
        <f t="shared" ref="AP62:AP65" si="20">SUM(AN62:AO62)</f>
        <v>-69359.600000000006</v>
      </c>
    </row>
    <row r="63" spans="38:42" x14ac:dyDescent="0.25">
      <c r="AL63" s="194" t="s">
        <v>337</v>
      </c>
      <c r="AN63" s="251">
        <v>-248938.4</v>
      </c>
      <c r="AO63" s="251">
        <f>-AN54/1000</f>
        <v>-15447.477999999999</v>
      </c>
      <c r="AP63" s="251">
        <f t="shared" si="20"/>
        <v>-264385.87799999997</v>
      </c>
    </row>
    <row r="64" spans="38:42" x14ac:dyDescent="0.25">
      <c r="AL64" s="194" t="s">
        <v>338</v>
      </c>
      <c r="AN64" s="251">
        <v>-7809.8</v>
      </c>
      <c r="AO64" s="251"/>
      <c r="AP64" s="251">
        <f t="shared" si="20"/>
        <v>-7809.8</v>
      </c>
    </row>
    <row r="65" spans="38:42" x14ac:dyDescent="0.25">
      <c r="AL65" s="194" t="s">
        <v>339</v>
      </c>
      <c r="AN65" s="252">
        <v>-1172.5</v>
      </c>
      <c r="AO65" s="252"/>
      <c r="AP65" s="252">
        <f t="shared" si="20"/>
        <v>-1172.5</v>
      </c>
    </row>
    <row r="66" spans="38:42" ht="16.5" thickBot="1" x14ac:dyDescent="0.3">
      <c r="AL66" s="194" t="s">
        <v>340</v>
      </c>
      <c r="AN66" s="253">
        <f>SUM(AN61:AN65)</f>
        <v>-615.70000000002346</v>
      </c>
      <c r="AO66" s="253">
        <f t="shared" ref="AO66:AP66" si="21">SUM(AO61:AO65)</f>
        <v>-15447.477999999999</v>
      </c>
      <c r="AP66" s="253">
        <f t="shared" si="21"/>
        <v>-16063.177999999996</v>
      </c>
    </row>
    <row r="67" spans="38:42" ht="16.5" thickTop="1" x14ac:dyDescent="0.25">
      <c r="AN67" s="251"/>
      <c r="AO67" s="251"/>
      <c r="AP67" s="251"/>
    </row>
    <row r="68" spans="38:42" x14ac:dyDescent="0.25">
      <c r="AN68" s="251"/>
      <c r="AO68" s="251"/>
      <c r="AP68" s="251"/>
    </row>
    <row r="69" spans="38:42" x14ac:dyDescent="0.25">
      <c r="AL69" s="194" t="s">
        <v>342</v>
      </c>
      <c r="AO69" s="251"/>
      <c r="AP69" s="251"/>
    </row>
  </sheetData>
  <mergeCells count="6">
    <mergeCell ref="AM21:AT21"/>
    <mergeCell ref="C3:H3"/>
    <mergeCell ref="L8:P8"/>
    <mergeCell ref="S8:W8"/>
    <mergeCell ref="Z8:AD8"/>
    <mergeCell ref="AM8:AT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5BF1-477F-48F8-9D78-5D7EB78C11DF}">
  <dimension ref="A1:K48"/>
  <sheetViews>
    <sheetView workbookViewId="0">
      <selection sqref="A1:XFD1048576"/>
    </sheetView>
  </sheetViews>
  <sheetFormatPr defaultColWidth="8.88671875" defaultRowHeight="15.75" x14ac:dyDescent="0.25"/>
  <cols>
    <col min="1" max="1" width="3.77734375" style="296" customWidth="1"/>
    <col min="2" max="2" width="2.77734375" style="296" customWidth="1"/>
    <col min="3" max="3" width="32.5546875" style="296" customWidth="1"/>
    <col min="4" max="4" width="1.21875" style="296" customWidth="1"/>
    <col min="5" max="5" width="9.6640625" style="296" customWidth="1"/>
    <col min="6" max="6" width="2.5546875" style="296" customWidth="1"/>
    <col min="7" max="7" width="9.6640625" style="296" customWidth="1"/>
    <col min="8" max="8" width="3.6640625" style="296" customWidth="1"/>
    <col min="9" max="9" width="10.88671875" style="296" customWidth="1"/>
    <col min="10" max="10" width="2.77734375" style="296" customWidth="1"/>
    <col min="11" max="11" width="2.5546875" style="296" customWidth="1"/>
    <col min="12" max="12" width="52.5546875" style="296" customWidth="1"/>
    <col min="13" max="16384" width="8.88671875" style="296"/>
  </cols>
  <sheetData>
    <row r="1" spans="1:1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1" x14ac:dyDescent="0.35">
      <c r="A2" s="200"/>
      <c r="B2" s="297"/>
      <c r="C2" s="348"/>
      <c r="D2" s="348"/>
      <c r="E2" s="348"/>
      <c r="F2" s="348"/>
      <c r="G2" s="348"/>
      <c r="H2" s="348"/>
      <c r="I2" s="348"/>
      <c r="J2" s="298"/>
      <c r="K2" s="299"/>
    </row>
    <row r="3" spans="1:11" ht="18.75" x14ac:dyDescent="0.3">
      <c r="A3" s="200"/>
      <c r="B3" s="300"/>
      <c r="C3" s="345" t="s">
        <v>358</v>
      </c>
      <c r="D3" s="345"/>
      <c r="E3" s="345"/>
      <c r="F3" s="345"/>
      <c r="G3" s="345"/>
      <c r="H3" s="345"/>
      <c r="I3" s="345"/>
      <c r="J3" s="301"/>
      <c r="K3" s="200"/>
    </row>
    <row r="4" spans="1:11" ht="18.75" x14ac:dyDescent="0.3">
      <c r="A4" s="200"/>
      <c r="B4" s="300"/>
      <c r="C4" s="197" t="s">
        <v>41</v>
      </c>
      <c r="D4" s="202"/>
      <c r="E4" s="202"/>
      <c r="F4" s="202"/>
      <c r="G4" s="202"/>
      <c r="H4" s="202"/>
      <c r="I4" s="202"/>
      <c r="J4" s="301"/>
      <c r="K4" s="200"/>
    </row>
    <row r="5" spans="1:11" x14ac:dyDescent="0.25">
      <c r="A5" s="200"/>
      <c r="B5" s="300"/>
      <c r="C5" s="199" t="s">
        <v>225</v>
      </c>
      <c r="D5" s="201"/>
      <c r="E5" s="201"/>
      <c r="F5" s="201"/>
      <c r="G5" s="201"/>
      <c r="H5" s="201"/>
      <c r="I5" s="201"/>
      <c r="J5" s="301"/>
      <c r="K5" s="200"/>
    </row>
    <row r="6" spans="1:11" x14ac:dyDescent="0.25">
      <c r="A6" s="200"/>
      <c r="B6" s="300"/>
      <c r="C6" s="200"/>
      <c r="D6" s="200"/>
      <c r="E6" s="200"/>
      <c r="F6" s="200"/>
      <c r="G6" s="200"/>
      <c r="H6" s="200"/>
      <c r="I6" s="200"/>
      <c r="J6" s="301"/>
      <c r="K6" s="200"/>
    </row>
    <row r="7" spans="1:11" x14ac:dyDescent="0.25">
      <c r="A7" s="200"/>
      <c r="B7" s="300"/>
      <c r="C7" s="236"/>
      <c r="D7" s="302"/>
      <c r="E7" s="236"/>
      <c r="F7" s="302"/>
      <c r="G7" s="236"/>
      <c r="H7" s="236"/>
      <c r="I7" s="303" t="s">
        <v>42</v>
      </c>
      <c r="J7" s="301"/>
      <c r="K7" s="200"/>
    </row>
    <row r="8" spans="1:11" ht="6.95" customHeight="1" x14ac:dyDescent="0.25">
      <c r="A8" s="200"/>
      <c r="B8" s="300"/>
      <c r="C8" s="236"/>
      <c r="D8" s="302"/>
      <c r="E8" s="236"/>
      <c r="F8" s="302"/>
      <c r="G8" s="236"/>
      <c r="H8" s="236"/>
      <c r="I8" s="303"/>
      <c r="J8" s="301"/>
      <c r="K8" s="200"/>
    </row>
    <row r="9" spans="1:11" x14ac:dyDescent="0.25">
      <c r="A9" s="200"/>
      <c r="B9" s="300"/>
      <c r="C9" s="236" t="s">
        <v>43</v>
      </c>
      <c r="D9" s="302"/>
      <c r="E9" s="236"/>
      <c r="F9" s="302"/>
      <c r="G9" s="236"/>
      <c r="H9" s="236"/>
      <c r="I9" s="304">
        <f>-'System Info. - PCWD'!G37</f>
        <v>0.15</v>
      </c>
      <c r="J9" s="301"/>
      <c r="K9" s="200"/>
    </row>
    <row r="10" spans="1:11" x14ac:dyDescent="0.25">
      <c r="A10" s="200"/>
      <c r="B10" s="300"/>
      <c r="C10" s="236" t="s">
        <v>62</v>
      </c>
      <c r="D10" s="302"/>
      <c r="E10" s="236"/>
      <c r="F10" s="302"/>
      <c r="G10" s="236"/>
      <c r="H10" s="236"/>
      <c r="I10" s="304">
        <f>'System Info. - PCWD'!G34</f>
        <v>2.3907788646734596E-2</v>
      </c>
      <c r="J10" s="301"/>
      <c r="K10" s="200"/>
    </row>
    <row r="11" spans="1:11" x14ac:dyDescent="0.25">
      <c r="A11" s="200"/>
      <c r="B11" s="300"/>
      <c r="C11" s="236" t="s">
        <v>61</v>
      </c>
      <c r="D11" s="302"/>
      <c r="E11" s="236"/>
      <c r="F11" s="302"/>
      <c r="G11" s="236"/>
      <c r="H11" s="236"/>
      <c r="I11" s="304">
        <f>I10+I9</f>
        <v>0.17390778864673459</v>
      </c>
      <c r="J11" s="301"/>
      <c r="K11" s="200"/>
    </row>
    <row r="12" spans="1:11" x14ac:dyDescent="0.25">
      <c r="A12" s="200"/>
      <c r="B12" s="300"/>
      <c r="C12" s="236" t="s">
        <v>393</v>
      </c>
      <c r="D12" s="302"/>
      <c r="E12" s="236"/>
      <c r="F12" s="302"/>
      <c r="G12" s="236"/>
      <c r="H12" s="236"/>
      <c r="I12" s="305">
        <f>'Systm Info. - EPCWD'!H21</f>
        <v>25.72</v>
      </c>
      <c r="J12" s="301"/>
      <c r="K12" s="200"/>
    </row>
    <row r="13" spans="1:11" x14ac:dyDescent="0.25">
      <c r="A13" s="200"/>
      <c r="B13" s="300"/>
      <c r="C13" s="236" t="s">
        <v>45</v>
      </c>
      <c r="D13" s="302"/>
      <c r="E13" s="236"/>
      <c r="F13" s="302"/>
      <c r="G13" s="236"/>
      <c r="H13" s="236"/>
      <c r="I13" s="305">
        <f>'System Info. - PCWD'!F21</f>
        <v>121.57064393939395</v>
      </c>
      <c r="J13" s="301"/>
      <c r="K13" s="200"/>
    </row>
    <row r="14" spans="1:11" x14ac:dyDescent="0.25">
      <c r="A14" s="200"/>
      <c r="B14" s="300"/>
      <c r="C14" s="236" t="s">
        <v>394</v>
      </c>
      <c r="D14" s="302"/>
      <c r="E14" s="236"/>
      <c r="F14" s="302"/>
      <c r="G14" s="236"/>
      <c r="H14" s="236"/>
      <c r="I14" s="305">
        <f>'Systm Info. - EPCWD'!F31</f>
        <v>107868.58</v>
      </c>
      <c r="J14" s="301"/>
      <c r="K14" s="200"/>
    </row>
    <row r="15" spans="1:11" x14ac:dyDescent="0.25">
      <c r="A15" s="200"/>
      <c r="B15" s="300"/>
      <c r="C15" s="236" t="s">
        <v>47</v>
      </c>
      <c r="D15" s="302"/>
      <c r="E15" s="236"/>
      <c r="F15" s="302"/>
      <c r="G15" s="236"/>
      <c r="H15" s="236"/>
      <c r="I15" s="305">
        <f>'Systm Info. - EPCWD'!F32</f>
        <v>177228.2</v>
      </c>
      <c r="J15" s="301"/>
      <c r="K15" s="200"/>
    </row>
    <row r="16" spans="1:11" x14ac:dyDescent="0.25">
      <c r="A16" s="200"/>
      <c r="B16" s="300"/>
      <c r="C16" s="236"/>
      <c r="D16" s="302"/>
      <c r="E16" s="236"/>
      <c r="F16" s="302"/>
      <c r="G16" s="236"/>
      <c r="H16" s="236"/>
      <c r="I16" s="304"/>
      <c r="J16" s="301"/>
      <c r="K16" s="200"/>
    </row>
    <row r="17" spans="1:11" x14ac:dyDescent="0.25">
      <c r="A17" s="200"/>
      <c r="B17" s="300"/>
      <c r="C17" s="236"/>
      <c r="D17" s="302"/>
      <c r="E17" s="236"/>
      <c r="F17" s="302"/>
      <c r="G17" s="306">
        <v>1</v>
      </c>
      <c r="H17" s="236"/>
      <c r="I17" s="304"/>
      <c r="J17" s="301"/>
      <c r="K17" s="200"/>
    </row>
    <row r="18" spans="1:11" x14ac:dyDescent="0.25">
      <c r="A18" s="200"/>
      <c r="B18" s="300"/>
      <c r="C18" s="307" t="s">
        <v>48</v>
      </c>
      <c r="D18" s="302"/>
      <c r="E18" s="200" t="s">
        <v>84</v>
      </c>
      <c r="F18" s="200"/>
      <c r="G18" s="200"/>
      <c r="H18" s="302" t="s">
        <v>49</v>
      </c>
      <c r="I18" s="308">
        <f>1/(1-I11)</f>
        <v>1.2105186155451666</v>
      </c>
      <c r="J18" s="301"/>
      <c r="K18" s="200"/>
    </row>
    <row r="19" spans="1:11" x14ac:dyDescent="0.25">
      <c r="A19" s="200"/>
      <c r="B19" s="300"/>
      <c r="C19" s="236"/>
      <c r="D19" s="302"/>
      <c r="E19" s="236">
        <v>1</v>
      </c>
      <c r="F19" s="302" t="s">
        <v>50</v>
      </c>
      <c r="G19" s="309">
        <f>I11</f>
        <v>0.17390778864673459</v>
      </c>
      <c r="H19" s="302"/>
      <c r="I19" s="304"/>
      <c r="J19" s="301"/>
      <c r="K19" s="200"/>
    </row>
    <row r="20" spans="1:11" ht="52.15" customHeight="1" x14ac:dyDescent="0.25">
      <c r="A20" s="200"/>
      <c r="B20" s="300"/>
      <c r="C20" s="310" t="s">
        <v>120</v>
      </c>
      <c r="D20" s="302"/>
      <c r="E20" s="236"/>
      <c r="F20" s="302"/>
      <c r="G20" s="311"/>
      <c r="H20" s="302"/>
      <c r="I20" s="304"/>
      <c r="J20" s="301"/>
      <c r="K20" s="200"/>
    </row>
    <row r="21" spans="1:11" x14ac:dyDescent="0.25">
      <c r="A21" s="200"/>
      <c r="B21" s="300"/>
      <c r="C21" s="236"/>
      <c r="D21" s="302"/>
      <c r="E21" s="236"/>
      <c r="F21" s="200"/>
      <c r="G21" s="312">
        <f>I12</f>
        <v>25.72</v>
      </c>
      <c r="H21" s="302"/>
      <c r="I21" s="304"/>
      <c r="J21" s="301"/>
      <c r="K21" s="200"/>
    </row>
    <row r="22" spans="1:11" x14ac:dyDescent="0.25">
      <c r="A22" s="200"/>
      <c r="B22" s="300"/>
      <c r="C22" s="307" t="s">
        <v>51</v>
      </c>
      <c r="D22" s="302"/>
      <c r="E22" s="200"/>
      <c r="F22" s="306" t="s">
        <v>85</v>
      </c>
      <c r="G22" s="306"/>
      <c r="H22" s="302" t="s">
        <v>49</v>
      </c>
      <c r="I22" s="308">
        <f>G21/G23</f>
        <v>0.21156423266806149</v>
      </c>
      <c r="J22" s="301"/>
      <c r="K22" s="200"/>
    </row>
    <row r="23" spans="1:11" x14ac:dyDescent="0.25">
      <c r="A23" s="200"/>
      <c r="B23" s="300"/>
      <c r="C23" s="236"/>
      <c r="D23" s="302"/>
      <c r="E23" s="313"/>
      <c r="F23" s="302"/>
      <c r="G23" s="312">
        <f>I13</f>
        <v>121.57064393939395</v>
      </c>
      <c r="H23" s="302"/>
      <c r="I23" s="304"/>
      <c r="J23" s="301"/>
      <c r="K23" s="200"/>
    </row>
    <row r="24" spans="1:11" ht="71.25" customHeight="1" x14ac:dyDescent="0.25">
      <c r="A24" s="200"/>
      <c r="B24" s="300"/>
      <c r="C24" s="310" t="s">
        <v>100</v>
      </c>
      <c r="D24" s="302"/>
      <c r="E24" s="313"/>
      <c r="F24" s="302"/>
      <c r="G24" s="236"/>
      <c r="H24" s="302"/>
      <c r="I24" s="304"/>
      <c r="J24" s="301"/>
      <c r="K24" s="200"/>
    </row>
    <row r="25" spans="1:11" x14ac:dyDescent="0.25">
      <c r="A25" s="200"/>
      <c r="B25" s="300"/>
      <c r="C25" s="307" t="s">
        <v>94</v>
      </c>
      <c r="D25" s="314"/>
      <c r="E25" s="315">
        <f>I9</f>
        <v>0.15</v>
      </c>
      <c r="F25" s="302" t="s">
        <v>52</v>
      </c>
      <c r="G25" s="316">
        <f>I22</f>
        <v>0.21156423266806149</v>
      </c>
      <c r="H25" s="302" t="s">
        <v>49</v>
      </c>
      <c r="I25" s="308">
        <f>E25*G25</f>
        <v>3.1734634900209224E-2</v>
      </c>
      <c r="J25" s="301"/>
      <c r="K25" s="200"/>
    </row>
    <row r="26" spans="1:11" ht="31.5" customHeight="1" x14ac:dyDescent="0.25">
      <c r="A26" s="200"/>
      <c r="B26" s="300"/>
      <c r="C26" s="317" t="s">
        <v>101</v>
      </c>
      <c r="D26" s="314"/>
      <c r="E26" s="315"/>
      <c r="F26" s="302"/>
      <c r="G26" s="316"/>
      <c r="H26" s="302"/>
      <c r="I26" s="304"/>
      <c r="J26" s="301"/>
      <c r="K26" s="200"/>
    </row>
    <row r="27" spans="1:11" x14ac:dyDescent="0.25">
      <c r="A27" s="200"/>
      <c r="B27" s="300"/>
      <c r="C27" s="236"/>
      <c r="D27" s="314"/>
      <c r="E27" s="315"/>
      <c r="F27" s="302"/>
      <c r="G27" s="316"/>
      <c r="H27" s="302"/>
      <c r="I27" s="304"/>
      <c r="J27" s="301"/>
      <c r="K27" s="200"/>
    </row>
    <row r="28" spans="1:11" x14ac:dyDescent="0.25">
      <c r="A28" s="200"/>
      <c r="B28" s="300"/>
      <c r="C28" s="307" t="s">
        <v>63</v>
      </c>
      <c r="D28" s="314"/>
      <c r="E28" s="315">
        <f>I25</f>
        <v>3.1734634900209224E-2</v>
      </c>
      <c r="F28" s="302" t="s">
        <v>64</v>
      </c>
      <c r="G28" s="316">
        <f>I10</f>
        <v>2.3907788646734596E-2</v>
      </c>
      <c r="H28" s="302" t="s">
        <v>49</v>
      </c>
      <c r="I28" s="308">
        <f>E28+G28</f>
        <v>5.564242354694382E-2</v>
      </c>
      <c r="J28" s="301"/>
      <c r="K28" s="200"/>
    </row>
    <row r="29" spans="1:11" ht="41.25" customHeight="1" x14ac:dyDescent="0.25">
      <c r="A29" s="200"/>
      <c r="B29" s="300"/>
      <c r="C29" s="310" t="s">
        <v>102</v>
      </c>
      <c r="D29" s="314"/>
      <c r="E29" s="315"/>
      <c r="F29" s="302"/>
      <c r="G29" s="236"/>
      <c r="H29" s="302"/>
      <c r="I29" s="304"/>
      <c r="J29" s="301"/>
      <c r="K29" s="200"/>
    </row>
    <row r="30" spans="1:11" x14ac:dyDescent="0.25">
      <c r="A30" s="200"/>
      <c r="B30" s="300"/>
      <c r="C30" s="236"/>
      <c r="D30" s="302"/>
      <c r="E30" s="236"/>
      <c r="F30" s="302"/>
      <c r="G30" s="306">
        <v>1</v>
      </c>
      <c r="H30" s="302"/>
      <c r="I30" s="308"/>
      <c r="J30" s="301"/>
      <c r="K30" s="200"/>
    </row>
    <row r="31" spans="1:11" x14ac:dyDescent="0.25">
      <c r="A31" s="200"/>
      <c r="B31" s="300"/>
      <c r="C31" s="307" t="s">
        <v>53</v>
      </c>
      <c r="D31" s="302"/>
      <c r="E31" s="200" t="s">
        <v>84</v>
      </c>
      <c r="F31" s="200"/>
      <c r="G31" s="200"/>
      <c r="H31" s="302" t="s">
        <v>49</v>
      </c>
      <c r="I31" s="308">
        <f>1/(1-G32)</f>
        <v>1.0589209267065267</v>
      </c>
      <c r="J31" s="301"/>
      <c r="K31" s="200"/>
    </row>
    <row r="32" spans="1:11" x14ac:dyDescent="0.25">
      <c r="A32" s="200"/>
      <c r="B32" s="300"/>
      <c r="C32" s="236"/>
      <c r="D32" s="302"/>
      <c r="E32" s="236">
        <v>1</v>
      </c>
      <c r="F32" s="302" t="s">
        <v>50</v>
      </c>
      <c r="G32" s="309">
        <f>I28</f>
        <v>5.564242354694382E-2</v>
      </c>
      <c r="H32" s="302"/>
      <c r="I32" s="304"/>
      <c r="J32" s="301"/>
      <c r="K32" s="200"/>
    </row>
    <row r="33" spans="1:11" ht="67.5" customHeight="1" x14ac:dyDescent="0.25">
      <c r="A33" s="200"/>
      <c r="B33" s="300"/>
      <c r="C33" s="310" t="s">
        <v>122</v>
      </c>
      <c r="D33" s="302"/>
      <c r="E33" s="236"/>
      <c r="F33" s="302"/>
      <c r="G33" s="309"/>
      <c r="H33" s="302"/>
      <c r="I33" s="304"/>
      <c r="J33" s="301"/>
      <c r="K33" s="200"/>
    </row>
    <row r="34" spans="1:11" x14ac:dyDescent="0.25">
      <c r="A34" s="200"/>
      <c r="B34" s="300"/>
      <c r="C34" s="318"/>
      <c r="D34" s="302"/>
      <c r="E34" s="319">
        <f>I31</f>
        <v>1.0589209267065267</v>
      </c>
      <c r="F34" s="302"/>
      <c r="G34" s="320">
        <f>$I$14</f>
        <v>107868.58</v>
      </c>
      <c r="H34" s="302"/>
      <c r="I34" s="304"/>
      <c r="J34" s="301"/>
      <c r="K34" s="200"/>
    </row>
    <row r="35" spans="1:11" x14ac:dyDescent="0.25">
      <c r="A35" s="200"/>
      <c r="B35" s="300"/>
      <c r="C35" s="307" t="s">
        <v>87</v>
      </c>
      <c r="D35" s="302"/>
      <c r="E35" s="302" t="s">
        <v>54</v>
      </c>
      <c r="F35" s="302" t="s">
        <v>52</v>
      </c>
      <c r="G35" s="302" t="s">
        <v>54</v>
      </c>
      <c r="H35" s="302" t="s">
        <v>49</v>
      </c>
      <c r="I35" s="308">
        <f>(I31/I18)*(+G34/G36)</f>
        <v>0.53241979463746103</v>
      </c>
      <c r="J35" s="301"/>
      <c r="K35" s="200"/>
    </row>
    <row r="36" spans="1:11" x14ac:dyDescent="0.25">
      <c r="A36" s="200"/>
      <c r="B36" s="300"/>
      <c r="C36" s="236"/>
      <c r="D36" s="302"/>
      <c r="E36" s="319">
        <f>I18</f>
        <v>1.2105186155451666</v>
      </c>
      <c r="F36" s="302"/>
      <c r="G36" s="320">
        <f>$I$15</f>
        <v>177228.2</v>
      </c>
      <c r="H36" s="302"/>
      <c r="I36" s="308"/>
      <c r="J36" s="301"/>
      <c r="K36" s="200"/>
    </row>
    <row r="37" spans="1:11" ht="60" x14ac:dyDescent="0.25">
      <c r="A37" s="200"/>
      <c r="B37" s="300"/>
      <c r="C37" s="310" t="s">
        <v>103</v>
      </c>
      <c r="D37" s="302"/>
      <c r="E37" s="319"/>
      <c r="F37" s="302"/>
      <c r="G37" s="320"/>
      <c r="H37" s="302"/>
      <c r="I37" s="308"/>
      <c r="J37" s="301"/>
      <c r="K37" s="200"/>
    </row>
    <row r="38" spans="1:11" x14ac:dyDescent="0.25">
      <c r="A38" s="200"/>
      <c r="B38" s="300"/>
      <c r="C38" s="310"/>
      <c r="D38" s="302"/>
      <c r="E38" s="320">
        <f>$I$14</f>
        <v>107868.58</v>
      </c>
      <c r="F38" s="302"/>
      <c r="G38" s="236"/>
      <c r="H38" s="302"/>
      <c r="I38" s="308"/>
      <c r="J38" s="301"/>
      <c r="K38" s="200"/>
    </row>
    <row r="39" spans="1:11" x14ac:dyDescent="0.25">
      <c r="A39" s="200"/>
      <c r="B39" s="300"/>
      <c r="C39" s="307" t="s">
        <v>55</v>
      </c>
      <c r="D39" s="302"/>
      <c r="E39" s="302" t="s">
        <v>54</v>
      </c>
      <c r="F39" s="302" t="s">
        <v>52</v>
      </c>
      <c r="G39" s="309">
        <f>I22</f>
        <v>0.21156423266806149</v>
      </c>
      <c r="H39" s="302" t="s">
        <v>49</v>
      </c>
      <c r="I39" s="308">
        <f>(+E38/E40)*I22</f>
        <v>0.12876694203683953</v>
      </c>
      <c r="J39" s="301"/>
      <c r="K39" s="200"/>
    </row>
    <row r="40" spans="1:11" x14ac:dyDescent="0.25">
      <c r="A40" s="200"/>
      <c r="B40" s="300"/>
      <c r="C40" s="236"/>
      <c r="D40" s="302"/>
      <c r="E40" s="320">
        <f>$I$15</f>
        <v>177228.2</v>
      </c>
      <c r="F40" s="302"/>
      <c r="G40" s="236"/>
      <c r="H40" s="302"/>
      <c r="I40" s="308"/>
      <c r="J40" s="301"/>
      <c r="K40" s="200"/>
    </row>
    <row r="41" spans="1:11" ht="36.75" customHeight="1" x14ac:dyDescent="0.25">
      <c r="A41" s="200"/>
      <c r="B41" s="300"/>
      <c r="C41" s="310" t="s">
        <v>104</v>
      </c>
      <c r="D41" s="302"/>
      <c r="E41" s="236"/>
      <c r="F41" s="302"/>
      <c r="G41" s="236"/>
      <c r="H41" s="302"/>
      <c r="I41" s="308"/>
      <c r="J41" s="301"/>
      <c r="K41" s="200"/>
    </row>
    <row r="42" spans="1:11" x14ac:dyDescent="0.25">
      <c r="A42" s="200"/>
      <c r="B42" s="300"/>
      <c r="C42" s="236"/>
      <c r="D42" s="302"/>
      <c r="E42" s="236"/>
      <c r="F42" s="302"/>
      <c r="G42" s="320">
        <f>$I$14</f>
        <v>107868.58</v>
      </c>
      <c r="H42" s="302"/>
      <c r="I42" s="308"/>
      <c r="J42" s="301"/>
      <c r="K42" s="200"/>
    </row>
    <row r="43" spans="1:11" x14ac:dyDescent="0.25">
      <c r="A43" s="200"/>
      <c r="B43" s="300"/>
      <c r="C43" s="307" t="s">
        <v>56</v>
      </c>
      <c r="D43" s="302"/>
      <c r="E43" s="236"/>
      <c r="F43" s="302"/>
      <c r="G43" s="302" t="s">
        <v>54</v>
      </c>
      <c r="H43" s="302" t="s">
        <v>49</v>
      </c>
      <c r="I43" s="308">
        <f>G42/G44</f>
        <v>0.60864230410284592</v>
      </c>
      <c r="J43" s="301"/>
      <c r="K43" s="200"/>
    </row>
    <row r="44" spans="1:11" x14ac:dyDescent="0.25">
      <c r="A44" s="200"/>
      <c r="B44" s="300"/>
      <c r="C44" s="200"/>
      <c r="D44" s="321"/>
      <c r="E44" s="200"/>
      <c r="F44" s="321"/>
      <c r="G44" s="320">
        <f>$I$15</f>
        <v>177228.2</v>
      </c>
      <c r="H44" s="200"/>
      <c r="I44" s="322"/>
      <c r="J44" s="301"/>
      <c r="K44" s="200"/>
    </row>
    <row r="45" spans="1:11" ht="53.65" customHeight="1" x14ac:dyDescent="0.25">
      <c r="A45" s="200"/>
      <c r="B45" s="323"/>
      <c r="C45" s="324" t="s">
        <v>105</v>
      </c>
      <c r="D45" s="325"/>
      <c r="E45" s="242"/>
      <c r="F45" s="325"/>
      <c r="G45" s="242"/>
      <c r="H45" s="242"/>
      <c r="I45" s="242"/>
      <c r="J45" s="326"/>
      <c r="K45" s="200"/>
    </row>
    <row r="46" spans="1:11" x14ac:dyDescent="0.25">
      <c r="A46" s="200"/>
      <c r="B46" s="200"/>
      <c r="C46" s="327"/>
      <c r="D46" s="321"/>
      <c r="E46" s="200"/>
      <c r="F46" s="321"/>
      <c r="G46" s="200"/>
      <c r="H46" s="200"/>
      <c r="I46" s="200"/>
      <c r="J46" s="200"/>
      <c r="K46" s="200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</sheetData>
  <mergeCells count="2">
    <mergeCell ref="C2:I2"/>
    <mergeCell ref="C3:I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095A4-1898-433E-8FCE-9EFEC4A5A6D2}">
  <dimension ref="A2:K84"/>
  <sheetViews>
    <sheetView workbookViewId="0">
      <selection sqref="A1:XFD1048576"/>
    </sheetView>
  </sheetViews>
  <sheetFormatPr defaultColWidth="8.88671875" defaultRowHeight="15" x14ac:dyDescent="0.2"/>
  <cols>
    <col min="1" max="1" width="2.6640625" style="258" customWidth="1"/>
    <col min="2" max="2" width="1.77734375" style="258" customWidth="1"/>
    <col min="3" max="3" width="4.6640625" style="258" customWidth="1"/>
    <col min="4" max="4" width="18.5546875" style="258" customWidth="1"/>
    <col min="5" max="5" width="11.6640625" style="258" customWidth="1"/>
    <col min="6" max="6" width="8.21875" style="258" customWidth="1"/>
    <col min="7" max="7" width="8.77734375" style="258" customWidth="1"/>
    <col min="8" max="8" width="12.6640625" style="258" customWidth="1"/>
    <col min="9" max="9" width="11.33203125" style="258" customWidth="1"/>
    <col min="10" max="10" width="1.33203125" style="258" customWidth="1"/>
    <col min="11" max="11" width="2.6640625" style="258" customWidth="1"/>
    <col min="12" max="12" width="8.88671875" style="258"/>
    <col min="13" max="13" width="12.77734375" style="258" customWidth="1"/>
    <col min="14" max="16384" width="8.88671875" style="258"/>
  </cols>
  <sheetData>
    <row r="2" spans="1:11" x14ac:dyDescent="0.2">
      <c r="A2" s="254"/>
      <c r="B2" s="255"/>
      <c r="C2" s="256"/>
      <c r="D2" s="256"/>
      <c r="E2" s="256"/>
      <c r="F2" s="256"/>
      <c r="G2" s="256"/>
      <c r="H2" s="256"/>
      <c r="I2" s="256"/>
      <c r="J2" s="257"/>
    </row>
    <row r="3" spans="1:11" ht="18.75" x14ac:dyDescent="0.3">
      <c r="A3" s="254"/>
      <c r="B3" s="259"/>
      <c r="C3" s="349" t="s">
        <v>67</v>
      </c>
      <c r="D3" s="349"/>
      <c r="E3" s="349"/>
      <c r="F3" s="349"/>
      <c r="G3" s="349"/>
      <c r="H3" s="349"/>
      <c r="I3" s="349"/>
      <c r="J3" s="350"/>
      <c r="K3" s="260"/>
    </row>
    <row r="4" spans="1:11" ht="18.75" x14ac:dyDescent="0.3">
      <c r="A4" s="254"/>
      <c r="B4" s="259"/>
      <c r="C4" s="261" t="s">
        <v>7</v>
      </c>
      <c r="D4" s="262"/>
      <c r="E4" s="262"/>
      <c r="F4" s="262"/>
      <c r="G4" s="262"/>
      <c r="H4" s="262"/>
      <c r="I4" s="262"/>
      <c r="J4" s="263"/>
      <c r="K4" s="260"/>
    </row>
    <row r="5" spans="1:11" ht="15.75" x14ac:dyDescent="0.25">
      <c r="A5" s="254"/>
      <c r="B5" s="259"/>
      <c r="C5" s="264" t="s">
        <v>225</v>
      </c>
      <c r="D5" s="262"/>
      <c r="E5" s="262"/>
      <c r="F5" s="262"/>
      <c r="G5" s="262"/>
      <c r="H5" s="262"/>
      <c r="I5" s="262"/>
      <c r="J5" s="263"/>
      <c r="K5" s="260"/>
    </row>
    <row r="6" spans="1:11" ht="15.75" x14ac:dyDescent="0.25">
      <c r="A6" s="254"/>
      <c r="B6" s="259"/>
      <c r="C6" s="265"/>
      <c r="D6" s="266"/>
      <c r="E6" s="266"/>
      <c r="F6" s="266"/>
      <c r="G6" s="266"/>
      <c r="H6" s="266"/>
      <c r="I6" s="266"/>
      <c r="J6" s="267"/>
      <c r="K6" s="260"/>
    </row>
    <row r="7" spans="1:11" ht="15.75" x14ac:dyDescent="0.25">
      <c r="A7" s="254"/>
      <c r="B7" s="259"/>
      <c r="C7" s="260"/>
      <c r="D7" s="268"/>
      <c r="E7" s="269"/>
      <c r="F7" s="351" t="s">
        <v>92</v>
      </c>
      <c r="G7" s="351"/>
      <c r="H7" s="270" t="s">
        <v>9</v>
      </c>
      <c r="I7" s="270" t="s">
        <v>12</v>
      </c>
      <c r="J7" s="271"/>
      <c r="K7" s="269"/>
    </row>
    <row r="8" spans="1:11" ht="15.75" x14ac:dyDescent="0.25">
      <c r="A8" s="254"/>
      <c r="B8" s="259"/>
      <c r="C8" s="260"/>
      <c r="D8" s="268"/>
      <c r="E8" s="269" t="s">
        <v>10</v>
      </c>
      <c r="F8" s="269" t="s">
        <v>93</v>
      </c>
      <c r="G8" s="269" t="s">
        <v>11</v>
      </c>
      <c r="H8" s="270" t="s">
        <v>8</v>
      </c>
      <c r="I8" s="270" t="s">
        <v>8</v>
      </c>
      <c r="J8" s="271"/>
      <c r="K8" s="269"/>
    </row>
    <row r="9" spans="1:11" ht="15.75" x14ac:dyDescent="0.25">
      <c r="A9" s="254"/>
      <c r="B9" s="259"/>
      <c r="C9" s="260" t="s">
        <v>13</v>
      </c>
      <c r="D9" s="268"/>
      <c r="E9" s="268"/>
      <c r="F9" s="268"/>
      <c r="G9" s="268"/>
      <c r="H9" s="268"/>
      <c r="I9" s="268"/>
      <c r="J9" s="267"/>
      <c r="K9" s="260"/>
    </row>
    <row r="10" spans="1:11" ht="15.75" x14ac:dyDescent="0.25">
      <c r="A10" s="254"/>
      <c r="B10" s="259"/>
      <c r="C10" s="260"/>
      <c r="D10" s="268" t="s">
        <v>57</v>
      </c>
      <c r="E10" s="24">
        <f>Matrix!G67</f>
        <v>139691</v>
      </c>
      <c r="F10" s="272" t="s">
        <v>88</v>
      </c>
      <c r="G10" s="273">
        <f>'Wholesal Factors - EPCWD'!$I$39</f>
        <v>0.12876694203683953</v>
      </c>
      <c r="H10" s="24">
        <f>E10*G10</f>
        <v>17987.582900068152</v>
      </c>
      <c r="I10" s="24">
        <f>E10-H10</f>
        <v>121703.41709993184</v>
      </c>
      <c r="J10" s="274"/>
    </row>
    <row r="11" spans="1:11" ht="15.75" x14ac:dyDescent="0.25">
      <c r="A11" s="254"/>
      <c r="B11" s="259"/>
      <c r="C11" s="260"/>
      <c r="D11" s="268" t="s">
        <v>14</v>
      </c>
      <c r="E11" s="25">
        <f>Matrix!H67</f>
        <v>54178</v>
      </c>
      <c r="F11" s="272" t="s">
        <v>15</v>
      </c>
      <c r="G11" s="273">
        <f>'Wholesal Factors - EPCWD'!$I$35</f>
        <v>0.53241979463746103</v>
      </c>
      <c r="H11" s="25">
        <f>E11*G11</f>
        <v>28845.439633868365</v>
      </c>
      <c r="I11" s="25">
        <f>E11-H11</f>
        <v>25332.560366131635</v>
      </c>
      <c r="J11" s="274"/>
    </row>
    <row r="12" spans="1:11" ht="15.75" x14ac:dyDescent="0.25">
      <c r="A12" s="254"/>
      <c r="B12" s="259"/>
      <c r="C12" s="260" t="s">
        <v>58</v>
      </c>
      <c r="D12" s="268"/>
      <c r="E12" s="25"/>
      <c r="F12" s="272"/>
      <c r="G12" s="275"/>
      <c r="H12" s="25"/>
      <c r="I12" s="25"/>
      <c r="J12" s="274"/>
    </row>
    <row r="13" spans="1:11" ht="15.75" x14ac:dyDescent="0.25">
      <c r="A13" s="254"/>
      <c r="B13" s="259"/>
      <c r="C13" s="260"/>
      <c r="D13" s="268" t="s">
        <v>57</v>
      </c>
      <c r="E13" s="24">
        <f>Matrix!G21</f>
        <v>77559</v>
      </c>
      <c r="F13" s="272" t="s">
        <v>88</v>
      </c>
      <c r="G13" s="273">
        <f>'Wholesal Factors - EPCWD'!$I$39</f>
        <v>0.12876694203683953</v>
      </c>
      <c r="H13" s="25">
        <f t="shared" ref="H13:H14" si="0">E13*G13</f>
        <v>9987.0352574352364</v>
      </c>
      <c r="I13" s="25">
        <f t="shared" ref="I13:I14" si="1">E13-H13</f>
        <v>67571.964742564771</v>
      </c>
      <c r="J13" s="274"/>
    </row>
    <row r="14" spans="1:11" ht="15.75" x14ac:dyDescent="0.25">
      <c r="A14" s="254"/>
      <c r="B14" s="259"/>
      <c r="C14" s="260"/>
      <c r="D14" s="268" t="s">
        <v>14</v>
      </c>
      <c r="E14" s="25">
        <f>Matrix!H21</f>
        <v>30081</v>
      </c>
      <c r="F14" s="272" t="s">
        <v>15</v>
      </c>
      <c r="G14" s="273">
        <f>'Wholesal Factors - EPCWD'!$I$35</f>
        <v>0.53241979463746103</v>
      </c>
      <c r="H14" s="25">
        <f t="shared" si="0"/>
        <v>16015.719842489465</v>
      </c>
      <c r="I14" s="25">
        <f t="shared" si="1"/>
        <v>14065.280157510535</v>
      </c>
      <c r="J14" s="274"/>
    </row>
    <row r="15" spans="1:11" ht="15.75" x14ac:dyDescent="0.25">
      <c r="A15" s="254"/>
      <c r="B15" s="259"/>
      <c r="C15" s="276" t="s">
        <v>307</v>
      </c>
      <c r="D15" s="268"/>
      <c r="E15" s="25"/>
      <c r="F15" s="272"/>
      <c r="G15" s="273"/>
      <c r="H15" s="25"/>
      <c r="I15" s="25"/>
      <c r="J15" s="274"/>
    </row>
    <row r="16" spans="1:11" ht="15.75" x14ac:dyDescent="0.25">
      <c r="A16" s="254"/>
      <c r="B16" s="259"/>
      <c r="C16" s="277"/>
      <c r="D16" s="268" t="s">
        <v>57</v>
      </c>
      <c r="E16" s="24">
        <f>Matrix!G63</f>
        <v>74810</v>
      </c>
      <c r="F16" s="272" t="s">
        <v>88</v>
      </c>
      <c r="G16" s="273">
        <f>'Wholesal Factors - EPCWD'!$I$39</f>
        <v>0.12876694203683953</v>
      </c>
      <c r="H16" s="25">
        <f t="shared" ref="H16:H17" si="2">E16*G16</f>
        <v>9633.0549337759658</v>
      </c>
      <c r="I16" s="25">
        <f t="shared" ref="I16:I21" si="3">E16-H16</f>
        <v>65176.945066224034</v>
      </c>
      <c r="J16" s="274"/>
    </row>
    <row r="17" spans="1:10" ht="15.75" x14ac:dyDescent="0.25">
      <c r="A17" s="254"/>
      <c r="B17" s="259"/>
      <c r="C17" s="260"/>
      <c r="D17" s="268" t="s">
        <v>14</v>
      </c>
      <c r="E17" s="25">
        <f>Matrix!H63</f>
        <v>31296</v>
      </c>
      <c r="F17" s="272" t="s">
        <v>15</v>
      </c>
      <c r="G17" s="273">
        <f>'Wholesal Factors - EPCWD'!$I$35</f>
        <v>0.53241979463746103</v>
      </c>
      <c r="H17" s="25">
        <f t="shared" si="2"/>
        <v>16662.609892973982</v>
      </c>
      <c r="I17" s="25">
        <f t="shared" si="3"/>
        <v>14633.390107026018</v>
      </c>
      <c r="J17" s="274"/>
    </row>
    <row r="18" spans="1:10" ht="15.75" x14ac:dyDescent="0.25">
      <c r="A18" s="254"/>
      <c r="B18" s="259"/>
      <c r="C18" s="260" t="s">
        <v>3</v>
      </c>
      <c r="D18" s="268"/>
      <c r="E18" s="25"/>
      <c r="H18" s="25">
        <f>E18*G19</f>
        <v>0</v>
      </c>
      <c r="I18" s="25">
        <f t="shared" si="3"/>
        <v>0</v>
      </c>
      <c r="J18" s="274"/>
    </row>
    <row r="19" spans="1:10" ht="15.75" x14ac:dyDescent="0.25">
      <c r="A19" s="254"/>
      <c r="B19" s="259"/>
      <c r="C19" s="260"/>
      <c r="D19" s="268" t="s">
        <v>57</v>
      </c>
      <c r="E19" s="25">
        <f>Matrix!G24</f>
        <v>62945</v>
      </c>
      <c r="F19" s="272" t="s">
        <v>88</v>
      </c>
      <c r="G19" s="273">
        <f>'Wholesal Factors - EPCWD'!$I$39</f>
        <v>0.12876694203683953</v>
      </c>
      <c r="H19" s="25">
        <f t="shared" ref="H19:H21" si="4">E19*G19</f>
        <v>8105.2351665088636</v>
      </c>
      <c r="I19" s="25">
        <f t="shared" si="3"/>
        <v>54839.764833491136</v>
      </c>
      <c r="J19" s="274"/>
    </row>
    <row r="20" spans="1:10" ht="15.75" x14ac:dyDescent="0.25">
      <c r="A20" s="254"/>
      <c r="B20" s="259"/>
      <c r="C20" s="260"/>
      <c r="D20" s="268" t="s">
        <v>14</v>
      </c>
      <c r="E20" s="25">
        <f>Matrix!H24</f>
        <v>3262</v>
      </c>
      <c r="F20" s="272" t="s">
        <v>15</v>
      </c>
      <c r="G20" s="273">
        <f>'Wholesal Factors - EPCWD'!$I$35</f>
        <v>0.53241979463746103</v>
      </c>
      <c r="H20" s="25">
        <f t="shared" si="4"/>
        <v>1736.7533701073978</v>
      </c>
      <c r="I20" s="25">
        <f t="shared" si="3"/>
        <v>1525.2466298926022</v>
      </c>
      <c r="J20" s="274"/>
    </row>
    <row r="21" spans="1:10" ht="15.75" x14ac:dyDescent="0.25">
      <c r="A21" s="254"/>
      <c r="B21" s="259"/>
      <c r="C21" s="260" t="s">
        <v>111</v>
      </c>
      <c r="D21" s="268"/>
      <c r="E21" s="25">
        <f>Matrix!G61</f>
        <v>0</v>
      </c>
      <c r="F21" s="272" t="s">
        <v>88</v>
      </c>
      <c r="G21" s="273">
        <f>'Wholesal Factors - EPCWD'!$I$39</f>
        <v>0.12876694203683953</v>
      </c>
      <c r="H21" s="25">
        <f t="shared" si="4"/>
        <v>0</v>
      </c>
      <c r="I21" s="25">
        <f t="shared" si="3"/>
        <v>0</v>
      </c>
      <c r="J21" s="274"/>
    </row>
    <row r="22" spans="1:10" ht="15.75" x14ac:dyDescent="0.25">
      <c r="A22" s="254"/>
      <c r="B22" s="259"/>
      <c r="C22" s="260" t="s">
        <v>77</v>
      </c>
      <c r="D22" s="268"/>
      <c r="E22" s="25">
        <f>Matrix!G10</f>
        <v>169847</v>
      </c>
      <c r="F22" s="272" t="s">
        <v>88</v>
      </c>
      <c r="G22" s="273">
        <f>'Wholesal Factors - EPCWD'!$I$39</f>
        <v>0.12876694203683953</v>
      </c>
      <c r="H22" s="25">
        <f>E22*G22</f>
        <v>21870.678804131083</v>
      </c>
      <c r="I22" s="25">
        <f>E22-H22</f>
        <v>147976.32119586892</v>
      </c>
      <c r="J22" s="274"/>
    </row>
    <row r="23" spans="1:10" ht="15.75" x14ac:dyDescent="0.25">
      <c r="A23" s="254"/>
      <c r="B23" s="259"/>
      <c r="C23" s="260" t="s">
        <v>68</v>
      </c>
      <c r="D23" s="268"/>
      <c r="E23" s="25"/>
      <c r="F23" s="272"/>
      <c r="G23" s="273"/>
      <c r="H23" s="25"/>
      <c r="I23" s="25"/>
      <c r="J23" s="274"/>
    </row>
    <row r="24" spans="1:10" ht="15.75" x14ac:dyDescent="0.25">
      <c r="A24" s="254"/>
      <c r="B24" s="259"/>
      <c r="C24" s="260"/>
      <c r="D24" s="268" t="s">
        <v>57</v>
      </c>
      <c r="E24" s="24">
        <f>Matrix!G51</f>
        <v>31145</v>
      </c>
      <c r="F24" s="272" t="s">
        <v>88</v>
      </c>
      <c r="G24" s="273">
        <f>'Wholesal Factors - EPCWD'!$I$39</f>
        <v>0.12876694203683953</v>
      </c>
      <c r="H24" s="25">
        <f>E24*G24</f>
        <v>4010.446409737367</v>
      </c>
      <c r="I24" s="25">
        <f>E24-H24</f>
        <v>27134.553590262632</v>
      </c>
      <c r="J24" s="274"/>
    </row>
    <row r="25" spans="1:10" ht="15.75" x14ac:dyDescent="0.25">
      <c r="A25" s="254"/>
      <c r="B25" s="259"/>
      <c r="C25" s="260"/>
      <c r="D25" s="268" t="s">
        <v>14</v>
      </c>
      <c r="E25" s="25">
        <f>Matrix!H51</f>
        <v>31145</v>
      </c>
      <c r="F25" s="272" t="s">
        <v>15</v>
      </c>
      <c r="G25" s="273">
        <f>'Wholesal Factors - EPCWD'!$I$35</f>
        <v>0.53241979463746103</v>
      </c>
      <c r="H25" s="25">
        <f>E25*G25</f>
        <v>16582.214503983723</v>
      </c>
      <c r="I25" s="25">
        <f>E25-H25</f>
        <v>14562.785496016277</v>
      </c>
      <c r="J25" s="274"/>
    </row>
    <row r="26" spans="1:10" ht="15.75" x14ac:dyDescent="0.25">
      <c r="A26" s="254"/>
      <c r="B26" s="259"/>
      <c r="C26" s="260" t="s">
        <v>69</v>
      </c>
      <c r="D26" s="268"/>
      <c r="E26" s="25"/>
      <c r="F26" s="272"/>
      <c r="G26" s="273"/>
      <c r="H26" s="25"/>
      <c r="I26" s="25"/>
      <c r="J26" s="274"/>
    </row>
    <row r="27" spans="1:10" ht="15.75" x14ac:dyDescent="0.25">
      <c r="A27" s="254"/>
      <c r="B27" s="259"/>
      <c r="C27" s="260"/>
      <c r="D27" s="268" t="s">
        <v>57</v>
      </c>
      <c r="E27" s="25">
        <f>Matrix!G54</f>
        <v>9183</v>
      </c>
      <c r="F27" s="272" t="s">
        <v>88</v>
      </c>
      <c r="G27" s="273">
        <f>'Wholesal Factors - EPCWD'!$I$39</f>
        <v>0.12876694203683953</v>
      </c>
      <c r="H27" s="25">
        <f>E27*G27</f>
        <v>1182.4668287242973</v>
      </c>
      <c r="I27" s="25">
        <f>E27-H27</f>
        <v>8000.5331712757024</v>
      </c>
      <c r="J27" s="274"/>
    </row>
    <row r="28" spans="1:10" ht="15.75" x14ac:dyDescent="0.25">
      <c r="A28" s="254"/>
      <c r="B28" s="259"/>
      <c r="C28" s="260"/>
      <c r="D28" s="268" t="s">
        <v>14</v>
      </c>
      <c r="E28" s="25">
        <v>0</v>
      </c>
      <c r="F28" s="272" t="s">
        <v>15</v>
      </c>
      <c r="G28" s="273">
        <f>'Wholesal Factors - EPCWD'!$I$35</f>
        <v>0.53241979463746103</v>
      </c>
      <c r="H28" s="25">
        <f t="shared" ref="H28" si="5">E28*G28</f>
        <v>0</v>
      </c>
      <c r="I28" s="25">
        <f t="shared" ref="I28" si="6">E28-H28</f>
        <v>0</v>
      </c>
      <c r="J28" s="274"/>
    </row>
    <row r="29" spans="1:10" ht="15.75" x14ac:dyDescent="0.25">
      <c r="A29" s="254"/>
      <c r="B29" s="259"/>
      <c r="C29" s="260" t="s">
        <v>78</v>
      </c>
      <c r="D29" s="268"/>
      <c r="E29" s="25"/>
      <c r="F29" s="272"/>
      <c r="G29" s="275"/>
      <c r="H29" s="25"/>
      <c r="I29" s="25"/>
      <c r="J29" s="274"/>
    </row>
    <row r="30" spans="1:10" ht="15.75" x14ac:dyDescent="0.25">
      <c r="A30" s="254"/>
      <c r="B30" s="259"/>
      <c r="C30" s="260"/>
      <c r="D30" s="268" t="s">
        <v>57</v>
      </c>
      <c r="E30" s="24">
        <f>Matrix!G45</f>
        <v>12225</v>
      </c>
      <c r="F30" s="272" t="s">
        <v>88</v>
      </c>
      <c r="G30" s="273">
        <f>'Wholesal Factors - EPCWD'!$I$39</f>
        <v>0.12876694203683953</v>
      </c>
      <c r="H30" s="25">
        <f t="shared" ref="H30:H31" si="7">E30*G30</f>
        <v>1574.1758664003632</v>
      </c>
      <c r="I30" s="25">
        <f t="shared" ref="I30:I31" si="8">E30-H30</f>
        <v>10650.824133599637</v>
      </c>
      <c r="J30" s="274"/>
    </row>
    <row r="31" spans="1:10" ht="15.75" x14ac:dyDescent="0.25">
      <c r="A31" s="254"/>
      <c r="B31" s="259"/>
      <c r="C31" s="260"/>
      <c r="D31" s="268" t="s">
        <v>14</v>
      </c>
      <c r="E31" s="25">
        <f>Matrix!H45</f>
        <v>5426</v>
      </c>
      <c r="F31" s="272" t="s">
        <v>15</v>
      </c>
      <c r="G31" s="273">
        <f>'Wholesal Factors - EPCWD'!$I$35</f>
        <v>0.53241979463746103</v>
      </c>
      <c r="H31" s="25">
        <f t="shared" si="7"/>
        <v>2888.9098057028637</v>
      </c>
      <c r="I31" s="25">
        <f t="shared" si="8"/>
        <v>2537.0901942971363</v>
      </c>
      <c r="J31" s="274"/>
    </row>
    <row r="32" spans="1:10" ht="15.75" x14ac:dyDescent="0.25">
      <c r="A32" s="254"/>
      <c r="B32" s="259"/>
      <c r="C32" s="260" t="s">
        <v>110</v>
      </c>
      <c r="D32" s="268"/>
      <c r="E32" s="25"/>
      <c r="G32" s="273"/>
      <c r="H32" s="25"/>
      <c r="I32" s="25"/>
      <c r="J32" s="274"/>
    </row>
    <row r="33" spans="1:11" ht="15.75" x14ac:dyDescent="0.25">
      <c r="A33" s="254"/>
      <c r="B33" s="259"/>
      <c r="C33" s="260"/>
      <c r="D33" s="268" t="s">
        <v>57</v>
      </c>
      <c r="E33" s="25">
        <f>Matrix!G73</f>
        <v>12128</v>
      </c>
      <c r="F33" s="272" t="s">
        <v>88</v>
      </c>
      <c r="G33" s="273">
        <f>'Wholesal Factors - EPCWD'!$I$39</f>
        <v>0.12876694203683953</v>
      </c>
      <c r="H33" s="25">
        <f>E33*G33</f>
        <v>1561.6854730227899</v>
      </c>
      <c r="I33" s="25">
        <f>E33-H33</f>
        <v>10566.31452697721</v>
      </c>
      <c r="J33" s="274"/>
    </row>
    <row r="34" spans="1:11" ht="15.75" x14ac:dyDescent="0.25">
      <c r="A34" s="254"/>
      <c r="B34" s="259"/>
      <c r="C34" s="260"/>
      <c r="D34" s="268" t="s">
        <v>14</v>
      </c>
      <c r="E34" s="278">
        <f>Matrix!H73</f>
        <v>4891</v>
      </c>
      <c r="F34" s="272" t="s">
        <v>15</v>
      </c>
      <c r="G34" s="273">
        <f>'Wholesal Factors - EPCWD'!$I$35</f>
        <v>0.53241979463746103</v>
      </c>
      <c r="H34" s="278">
        <f t="shared" ref="H34" si="9">E34*G34</f>
        <v>2604.0652155718217</v>
      </c>
      <c r="I34" s="278">
        <f t="shared" ref="I34" si="10">E34-H34</f>
        <v>2286.9347844281783</v>
      </c>
      <c r="J34" s="274"/>
    </row>
    <row r="35" spans="1:11" ht="6.95" customHeight="1" x14ac:dyDescent="0.25">
      <c r="A35" s="254"/>
      <c r="B35" s="259"/>
      <c r="C35" s="260"/>
      <c r="D35" s="268"/>
      <c r="E35" s="25"/>
      <c r="F35" s="272"/>
      <c r="G35" s="275"/>
      <c r="H35" s="25"/>
      <c r="I35" s="25"/>
      <c r="J35" s="274"/>
    </row>
    <row r="36" spans="1:11" ht="15.75" x14ac:dyDescent="0.25">
      <c r="A36" s="254"/>
      <c r="B36" s="259"/>
      <c r="C36" s="279" t="s">
        <v>376</v>
      </c>
      <c r="D36" s="268"/>
      <c r="E36" s="25">
        <f>SUM(E10:E35)</f>
        <v>749812</v>
      </c>
      <c r="F36" s="272"/>
      <c r="G36" s="275"/>
      <c r="H36" s="25">
        <f>SUM(H10:H35)</f>
        <v>161248.07390450171</v>
      </c>
      <c r="I36" s="25">
        <f>SUM(I10:I35)</f>
        <v>588563.92609549849</v>
      </c>
      <c r="J36" s="274"/>
    </row>
    <row r="37" spans="1:11" ht="6.95" customHeight="1" x14ac:dyDescent="0.25">
      <c r="A37" s="254"/>
      <c r="B37" s="259"/>
      <c r="C37" s="260"/>
      <c r="D37" s="268"/>
      <c r="E37" s="25"/>
      <c r="F37" s="272"/>
      <c r="G37" s="275"/>
      <c r="H37" s="25"/>
      <c r="I37" s="25"/>
      <c r="J37" s="274"/>
    </row>
    <row r="38" spans="1:11" ht="15.75" x14ac:dyDescent="0.25">
      <c r="A38" s="254"/>
      <c r="B38" s="259"/>
      <c r="C38" s="260" t="s">
        <v>2</v>
      </c>
      <c r="D38" s="268"/>
      <c r="E38" s="25"/>
      <c r="F38" s="272"/>
      <c r="G38" s="275"/>
      <c r="H38" s="25"/>
      <c r="I38" s="25"/>
      <c r="J38" s="274"/>
    </row>
    <row r="39" spans="1:11" ht="15.75" x14ac:dyDescent="0.25">
      <c r="A39" s="254"/>
      <c r="B39" s="259"/>
      <c r="C39" s="260"/>
      <c r="D39" s="268" t="s">
        <v>57</v>
      </c>
      <c r="E39" s="25">
        <f>Matrix!G12</f>
        <v>83951</v>
      </c>
      <c r="F39" s="272" t="s">
        <v>88</v>
      </c>
      <c r="G39" s="273">
        <f>'Wholesal Factors - EPCWD'!$I$39</f>
        <v>0.12876694203683953</v>
      </c>
      <c r="H39" s="25">
        <f>E39*G39</f>
        <v>10810.113550934715</v>
      </c>
      <c r="I39" s="25">
        <f>E39-H39</f>
        <v>73140.886449065292</v>
      </c>
      <c r="J39" s="274"/>
    </row>
    <row r="40" spans="1:11" ht="15.75" x14ac:dyDescent="0.25">
      <c r="A40" s="254"/>
      <c r="B40" s="259"/>
      <c r="C40" s="260"/>
      <c r="D40" s="260" t="s">
        <v>18</v>
      </c>
      <c r="E40" s="25">
        <f>Matrix!H12</f>
        <v>44926</v>
      </c>
      <c r="F40" s="272" t="s">
        <v>15</v>
      </c>
      <c r="G40" s="273">
        <f>'Wholesal Factors - EPCWD'!$I$35</f>
        <v>0.53241979463746103</v>
      </c>
      <c r="H40" s="25">
        <f>E40*G40</f>
        <v>23919.491693882574</v>
      </c>
      <c r="I40" s="25">
        <f>E40-H40</f>
        <v>21006.508306117426</v>
      </c>
      <c r="J40" s="274"/>
    </row>
    <row r="41" spans="1:11" ht="15.75" x14ac:dyDescent="0.25">
      <c r="A41" s="254"/>
      <c r="B41" s="259"/>
      <c r="C41" s="260"/>
      <c r="D41" s="260" t="s">
        <v>86</v>
      </c>
      <c r="E41" s="25">
        <f>Matrix!I75</f>
        <v>24241</v>
      </c>
      <c r="F41" s="272" t="s">
        <v>17</v>
      </c>
      <c r="G41" s="273">
        <f>'Wholesal Factors - EPCWD'!I43</f>
        <v>0.60864230410284592</v>
      </c>
      <c r="H41" s="25">
        <f>E41*G41</f>
        <v>14754.098093757088</v>
      </c>
      <c r="I41" s="25">
        <f>E41-H41</f>
        <v>9486.9019062429124</v>
      </c>
      <c r="J41" s="274"/>
    </row>
    <row r="42" spans="1:11" ht="15.75" x14ac:dyDescent="0.25">
      <c r="A42" s="254"/>
      <c r="B42" s="259"/>
      <c r="C42" s="260"/>
      <c r="D42" s="268" t="s">
        <v>16</v>
      </c>
      <c r="E42" s="25">
        <f>+Matrix!K12</f>
        <v>0</v>
      </c>
      <c r="F42" s="272" t="s">
        <v>15</v>
      </c>
      <c r="G42" s="273">
        <f>'Wholesal Factors - EPCWD'!$I$35</f>
        <v>0.53241979463746103</v>
      </c>
      <c r="H42" s="25">
        <f>E42*G42</f>
        <v>0</v>
      </c>
      <c r="I42" s="25">
        <f>E42-H42</f>
        <v>0</v>
      </c>
      <c r="J42" s="274"/>
    </row>
    <row r="43" spans="1:11" ht="15.75" x14ac:dyDescent="0.25">
      <c r="A43" s="254"/>
      <c r="B43" s="259"/>
      <c r="C43" s="260"/>
      <c r="D43" s="268" t="s">
        <v>19</v>
      </c>
      <c r="E43" s="278">
        <f>Matrix!J12</f>
        <v>3180</v>
      </c>
      <c r="F43" s="272"/>
      <c r="G43" s="273">
        <v>0</v>
      </c>
      <c r="H43" s="278">
        <f t="shared" ref="H43" si="11">E43*G43</f>
        <v>0</v>
      </c>
      <c r="I43" s="278">
        <f>E43</f>
        <v>3180</v>
      </c>
      <c r="J43" s="274"/>
    </row>
    <row r="44" spans="1:11" ht="15.75" x14ac:dyDescent="0.25">
      <c r="A44" s="254"/>
      <c r="B44" s="259"/>
      <c r="C44" s="260" t="s">
        <v>1</v>
      </c>
      <c r="D44" s="268"/>
      <c r="E44" s="25">
        <f>SUM(E36:E43)</f>
        <v>906110</v>
      </c>
      <c r="F44" s="272"/>
      <c r="G44" s="273"/>
      <c r="H44" s="25">
        <f>SUM(H36:H43)</f>
        <v>210731.77724307607</v>
      </c>
      <c r="I44" s="25">
        <f>SUM(I39:I43)</f>
        <v>106814.29666142563</v>
      </c>
      <c r="J44" s="274"/>
    </row>
    <row r="45" spans="1:11" ht="15.75" x14ac:dyDescent="0.25">
      <c r="A45" s="254"/>
      <c r="B45" s="259"/>
      <c r="C45" s="260"/>
      <c r="D45" s="268"/>
      <c r="E45" s="25"/>
      <c r="F45" s="272"/>
      <c r="G45" s="273"/>
      <c r="H45" s="25"/>
      <c r="I45" s="25"/>
      <c r="J45" s="274"/>
    </row>
    <row r="46" spans="1:11" ht="14.1" customHeight="1" x14ac:dyDescent="0.25">
      <c r="A46" s="254"/>
      <c r="B46" s="259"/>
      <c r="C46" s="280" t="s">
        <v>371</v>
      </c>
      <c r="D46" s="281"/>
      <c r="E46" s="25"/>
      <c r="F46" s="25"/>
      <c r="G46" s="275"/>
      <c r="H46" s="25"/>
      <c r="I46" s="25"/>
      <c r="J46" s="274"/>
      <c r="K46" s="260"/>
    </row>
    <row r="47" spans="1:11" ht="14.1" customHeight="1" x14ac:dyDescent="0.25">
      <c r="A47" s="254"/>
      <c r="B47" s="259"/>
      <c r="C47" s="280"/>
      <c r="D47" s="281" t="s">
        <v>372</v>
      </c>
      <c r="E47" s="25"/>
      <c r="F47" s="25"/>
      <c r="G47" s="275"/>
      <c r="H47" s="25"/>
      <c r="I47" s="25"/>
      <c r="J47" s="274"/>
      <c r="K47" s="260"/>
    </row>
    <row r="48" spans="1:11" ht="14.1" customHeight="1" x14ac:dyDescent="0.25">
      <c r="A48" s="254"/>
      <c r="B48" s="259"/>
      <c r="D48" s="282" t="s">
        <v>375</v>
      </c>
      <c r="E48" s="278">
        <f>ROUND((E36/0.88)-E36,0)</f>
        <v>102247</v>
      </c>
      <c r="F48" s="25"/>
      <c r="G48" s="275"/>
      <c r="H48" s="278">
        <f>ROUND((H36/0.88)-H36,0)</f>
        <v>21988</v>
      </c>
      <c r="I48" s="278">
        <f>ROUND((I36/0.88)-I36,0)</f>
        <v>80259</v>
      </c>
      <c r="J48" s="332" t="s">
        <v>392</v>
      </c>
      <c r="K48" s="260"/>
    </row>
    <row r="49" spans="1:11" ht="14.1" customHeight="1" x14ac:dyDescent="0.25">
      <c r="A49" s="254"/>
      <c r="B49" s="259"/>
      <c r="E49" s="25"/>
      <c r="F49" s="25"/>
      <c r="G49" s="275"/>
      <c r="H49" s="25"/>
      <c r="I49" s="25"/>
      <c r="J49" s="274"/>
      <c r="K49" s="260"/>
    </row>
    <row r="50" spans="1:11" ht="15.75" x14ac:dyDescent="0.25">
      <c r="A50" s="254"/>
      <c r="B50" s="259"/>
      <c r="C50" s="283" t="s">
        <v>20</v>
      </c>
      <c r="D50" s="268"/>
      <c r="E50" s="25">
        <f>SUM(E44,E48)</f>
        <v>1008357</v>
      </c>
      <c r="F50" s="25"/>
      <c r="G50" s="275"/>
      <c r="H50" s="25">
        <f>SUM(H44,H48)</f>
        <v>232719.77724307607</v>
      </c>
      <c r="I50" s="25">
        <f>SUM(I44,I48)</f>
        <v>187073.29666142561</v>
      </c>
      <c r="J50" s="274"/>
      <c r="K50" s="260"/>
    </row>
    <row r="51" spans="1:11" ht="6.95" customHeight="1" x14ac:dyDescent="0.25">
      <c r="A51" s="254"/>
      <c r="B51" s="259"/>
      <c r="C51" s="260"/>
      <c r="D51" s="260"/>
      <c r="E51" s="268"/>
      <c r="F51" s="268"/>
      <c r="G51" s="268"/>
      <c r="H51" s="25"/>
      <c r="I51" s="25"/>
      <c r="J51" s="274"/>
      <c r="K51" s="260"/>
    </row>
    <row r="52" spans="1:11" ht="15.75" x14ac:dyDescent="0.25">
      <c r="A52" s="254"/>
      <c r="B52" s="259"/>
      <c r="C52" s="260"/>
      <c r="D52" s="268" t="s">
        <v>21</v>
      </c>
      <c r="E52" s="268"/>
      <c r="F52" s="268"/>
      <c r="G52" s="268"/>
      <c r="H52" s="25">
        <f>'Wholesal Factors - EPCWD'!I14</f>
        <v>107868.58</v>
      </c>
      <c r="I52" s="25"/>
      <c r="J52" s="274"/>
      <c r="K52" s="260"/>
    </row>
    <row r="53" spans="1:11" ht="6.95" customHeight="1" x14ac:dyDescent="0.25">
      <c r="A53" s="254"/>
      <c r="B53" s="259"/>
      <c r="C53" s="260"/>
      <c r="E53" s="268"/>
      <c r="F53" s="268"/>
      <c r="G53" s="268"/>
      <c r="H53" s="268"/>
      <c r="I53" s="268"/>
      <c r="J53" s="267"/>
      <c r="K53" s="260"/>
    </row>
    <row r="54" spans="1:11" ht="18" x14ac:dyDescent="0.4">
      <c r="A54" s="254"/>
      <c r="B54" s="259"/>
      <c r="C54" s="284" t="s">
        <v>117</v>
      </c>
      <c r="D54" s="268"/>
      <c r="E54" s="285"/>
      <c r="F54" s="285"/>
      <c r="G54" s="285"/>
      <c r="H54" s="286">
        <f>ROUND(H50/H52,2)</f>
        <v>2.16</v>
      </c>
      <c r="I54" s="287"/>
      <c r="J54" s="288"/>
      <c r="K54" s="289"/>
    </row>
    <row r="55" spans="1:11" ht="18" x14ac:dyDescent="0.4">
      <c r="A55" s="254"/>
      <c r="B55" s="259"/>
      <c r="C55" s="284"/>
      <c r="D55" s="285"/>
      <c r="E55" s="285"/>
      <c r="F55" s="285"/>
      <c r="G55" s="285"/>
      <c r="H55" s="286"/>
      <c r="I55" s="287"/>
      <c r="J55" s="288"/>
      <c r="K55" s="289"/>
    </row>
    <row r="56" spans="1:11" ht="18" x14ac:dyDescent="0.4">
      <c r="A56" s="254"/>
      <c r="B56" s="259"/>
      <c r="C56" s="284" t="s">
        <v>118</v>
      </c>
      <c r="D56" s="285"/>
      <c r="E56" s="285"/>
      <c r="F56" s="285"/>
      <c r="G56" s="285"/>
      <c r="H56" s="286">
        <v>2.65</v>
      </c>
      <c r="I56" s="287"/>
      <c r="J56" s="288"/>
      <c r="K56" s="289"/>
    </row>
    <row r="57" spans="1:11" ht="15.75" x14ac:dyDescent="0.25">
      <c r="A57" s="254"/>
      <c r="B57" s="259"/>
      <c r="C57" s="284" t="s">
        <v>119</v>
      </c>
      <c r="D57" s="285"/>
      <c r="E57" s="285"/>
      <c r="F57" s="285"/>
      <c r="G57" s="285"/>
      <c r="H57" s="290">
        <f>H54-H56</f>
        <v>-0.48999999999999977</v>
      </c>
      <c r="I57" s="287"/>
      <c r="J57" s="288"/>
      <c r="K57" s="289"/>
    </row>
    <row r="58" spans="1:11" ht="15.75" x14ac:dyDescent="0.25">
      <c r="A58" s="254"/>
      <c r="B58" s="259"/>
      <c r="C58" s="284" t="s">
        <v>6</v>
      </c>
      <c r="D58" s="285"/>
      <c r="E58" s="285"/>
      <c r="F58" s="285"/>
      <c r="G58" s="285"/>
      <c r="H58" s="291">
        <f>H57/H56</f>
        <v>-0.18490566037735842</v>
      </c>
      <c r="I58" s="287"/>
      <c r="J58" s="288"/>
      <c r="K58" s="289"/>
    </row>
    <row r="59" spans="1:11" ht="15.75" x14ac:dyDescent="0.25">
      <c r="A59" s="254"/>
      <c r="B59" s="292"/>
      <c r="C59" s="265"/>
      <c r="D59" s="293"/>
      <c r="E59" s="266"/>
      <c r="F59" s="266"/>
      <c r="G59" s="266"/>
      <c r="H59" s="265"/>
      <c r="I59" s="266"/>
      <c r="J59" s="294"/>
      <c r="K59" s="260"/>
    </row>
    <row r="60" spans="1:11" ht="15.75" x14ac:dyDescent="0.25">
      <c r="C60" s="260"/>
      <c r="D60" s="268"/>
      <c r="E60" s="268"/>
      <c r="F60" s="268"/>
      <c r="G60" s="268"/>
      <c r="H60" s="260"/>
      <c r="I60" s="268"/>
      <c r="J60" s="268"/>
      <c r="K60" s="260"/>
    </row>
    <row r="61" spans="1:11" ht="15.75" x14ac:dyDescent="0.25">
      <c r="C61" s="260"/>
      <c r="D61" s="268"/>
      <c r="E61" s="268"/>
      <c r="F61" s="268"/>
      <c r="G61" s="268"/>
      <c r="H61" s="260"/>
      <c r="I61" s="268"/>
      <c r="J61" s="268"/>
      <c r="K61" s="260"/>
    </row>
    <row r="62" spans="1:11" ht="15.75" x14ac:dyDescent="0.25">
      <c r="C62" s="260"/>
      <c r="D62" s="268"/>
      <c r="E62" s="268"/>
      <c r="F62" s="268"/>
      <c r="G62" s="268"/>
      <c r="H62" s="260"/>
      <c r="I62" s="268"/>
      <c r="J62" s="268"/>
      <c r="K62" s="260"/>
    </row>
    <row r="63" spans="1:11" ht="15.75" x14ac:dyDescent="0.25">
      <c r="C63" s="260"/>
      <c r="D63" s="268"/>
      <c r="E63" s="260"/>
      <c r="F63" s="260"/>
      <c r="G63" s="260"/>
      <c r="H63" s="295"/>
      <c r="I63" s="295"/>
      <c r="J63" s="295"/>
      <c r="K63" s="295"/>
    </row>
    <row r="64" spans="1:11" ht="15.75" x14ac:dyDescent="0.25">
      <c r="C64" s="260"/>
      <c r="D64" s="260"/>
    </row>
    <row r="65" spans="3:11" ht="15.75" x14ac:dyDescent="0.25">
      <c r="C65" s="260"/>
      <c r="D65" s="260"/>
    </row>
    <row r="66" spans="3:11" ht="15.75" x14ac:dyDescent="0.25">
      <c r="C66" s="260"/>
      <c r="D66" s="260"/>
    </row>
    <row r="67" spans="3:11" ht="15.75" x14ac:dyDescent="0.25">
      <c r="C67" s="260"/>
      <c r="D67" s="260"/>
    </row>
    <row r="68" spans="3:11" ht="15.75" x14ac:dyDescent="0.25">
      <c r="C68" s="260"/>
      <c r="D68" s="260"/>
    </row>
    <row r="69" spans="3:11" ht="15.75" x14ac:dyDescent="0.25">
      <c r="C69" s="260"/>
      <c r="D69" s="260"/>
    </row>
    <row r="70" spans="3:11" ht="15.75" x14ac:dyDescent="0.25">
      <c r="C70" s="260"/>
      <c r="D70" s="260"/>
    </row>
    <row r="71" spans="3:11" ht="15.75" x14ac:dyDescent="0.25">
      <c r="C71" s="260"/>
      <c r="D71" s="260"/>
    </row>
    <row r="72" spans="3:11" ht="15.75" x14ac:dyDescent="0.25">
      <c r="C72" s="260"/>
      <c r="D72" s="260"/>
    </row>
    <row r="73" spans="3:11" ht="15.75" x14ac:dyDescent="0.25">
      <c r="C73" s="260"/>
      <c r="D73" s="260"/>
    </row>
    <row r="74" spans="3:11" ht="15.75" x14ac:dyDescent="0.25">
      <c r="C74" s="260"/>
      <c r="D74" s="260"/>
    </row>
    <row r="75" spans="3:11" ht="15.75" x14ac:dyDescent="0.25">
      <c r="C75" s="260"/>
      <c r="D75" s="260"/>
    </row>
    <row r="76" spans="3:11" ht="15.75" x14ac:dyDescent="0.25">
      <c r="C76" s="260"/>
      <c r="D76" s="260"/>
    </row>
    <row r="77" spans="3:11" ht="15.75" x14ac:dyDescent="0.25">
      <c r="C77" s="260"/>
      <c r="D77" s="260"/>
    </row>
    <row r="78" spans="3:11" ht="15.75" x14ac:dyDescent="0.25">
      <c r="C78" s="260"/>
      <c r="D78" s="260"/>
      <c r="E78" s="260"/>
      <c r="F78" s="260"/>
      <c r="G78" s="260"/>
      <c r="H78" s="295"/>
      <c r="I78" s="295"/>
      <c r="J78" s="295"/>
      <c r="K78" s="295"/>
    </row>
    <row r="79" spans="3:11" ht="15.75" x14ac:dyDescent="0.25">
      <c r="C79" s="260"/>
      <c r="D79" s="260"/>
      <c r="E79" s="260"/>
      <c r="F79" s="260"/>
      <c r="G79" s="260"/>
      <c r="H79" s="295"/>
      <c r="I79" s="295"/>
      <c r="J79" s="295"/>
      <c r="K79" s="295"/>
    </row>
    <row r="80" spans="3:11" ht="15.75" x14ac:dyDescent="0.25">
      <c r="C80" s="260"/>
      <c r="D80" s="260"/>
      <c r="E80" s="260"/>
      <c r="F80" s="260"/>
      <c r="G80" s="260"/>
      <c r="H80" s="260"/>
      <c r="I80" s="260"/>
      <c r="J80" s="260"/>
      <c r="K80" s="260"/>
    </row>
    <row r="81" spans="3:11" ht="15.75" x14ac:dyDescent="0.25">
      <c r="C81" s="260"/>
      <c r="D81" s="260"/>
      <c r="E81" s="260"/>
      <c r="F81" s="260"/>
      <c r="G81" s="260"/>
      <c r="H81" s="260"/>
      <c r="I81" s="260"/>
      <c r="J81" s="260"/>
      <c r="K81" s="260"/>
    </row>
    <row r="82" spans="3:11" ht="15.75" x14ac:dyDescent="0.25">
      <c r="C82" s="260"/>
      <c r="D82" s="260"/>
      <c r="E82" s="260"/>
      <c r="F82" s="260"/>
      <c r="G82" s="260"/>
      <c r="H82" s="260"/>
      <c r="I82" s="260"/>
      <c r="J82" s="260"/>
      <c r="K82" s="260"/>
    </row>
    <row r="83" spans="3:11" ht="15.75" x14ac:dyDescent="0.25">
      <c r="C83" s="260"/>
      <c r="D83" s="260"/>
      <c r="E83" s="260"/>
      <c r="F83" s="260"/>
      <c r="G83" s="260"/>
      <c r="H83" s="260"/>
      <c r="I83" s="260"/>
      <c r="J83" s="260"/>
      <c r="K83" s="260"/>
    </row>
    <row r="84" spans="3:11" ht="15.75" x14ac:dyDescent="0.25">
      <c r="D84" s="260"/>
    </row>
  </sheetData>
  <mergeCells count="2">
    <mergeCell ref="C3:J3"/>
    <mergeCell ref="F7:G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B344-698B-4FF3-829E-2E145749763A}">
  <dimension ref="B2:AV69"/>
  <sheetViews>
    <sheetView showGridLines="0" topLeftCell="A22" workbookViewId="0">
      <selection sqref="A1:XFD1048576"/>
    </sheetView>
  </sheetViews>
  <sheetFormatPr defaultColWidth="8.88671875" defaultRowHeight="15.75" x14ac:dyDescent="0.25"/>
  <cols>
    <col min="1" max="1" width="3.44140625" style="194" customWidth="1"/>
    <col min="2" max="2" width="2.6640625" style="194" customWidth="1"/>
    <col min="3" max="8" width="9.6640625" style="194" customWidth="1"/>
    <col min="9" max="9" width="2.77734375" style="194" customWidth="1"/>
    <col min="10" max="10" width="2.44140625" style="194" customWidth="1"/>
    <col min="11" max="11" width="8.88671875" style="194"/>
    <col min="12" max="12" width="1.77734375" style="194" customWidth="1"/>
    <col min="13" max="13" width="8.88671875" style="194"/>
    <col min="14" max="14" width="1.77734375" style="194" customWidth="1"/>
    <col min="15" max="15" width="8.88671875" style="194"/>
    <col min="16" max="16" width="1.77734375" style="194" customWidth="1"/>
    <col min="17" max="17" width="8.88671875" style="194"/>
    <col min="18" max="19" width="1.77734375" style="194" customWidth="1"/>
    <col min="20" max="20" width="8.88671875" style="194"/>
    <col min="21" max="21" width="1.77734375" style="194" customWidth="1"/>
    <col min="22" max="22" width="8.88671875" style="194"/>
    <col min="23" max="23" width="1.77734375" style="194" customWidth="1"/>
    <col min="24" max="24" width="8.88671875" style="194"/>
    <col min="25" max="26" width="1.77734375" style="194" customWidth="1"/>
    <col min="27" max="27" width="8.88671875" style="194"/>
    <col min="28" max="28" width="1.77734375" style="194" customWidth="1"/>
    <col min="29" max="29" width="8.88671875" style="194"/>
    <col min="30" max="30" width="1.77734375" style="194" customWidth="1"/>
    <col min="31" max="31" width="8.88671875" style="194"/>
    <col min="32" max="32" width="1.77734375" style="194" customWidth="1"/>
    <col min="33" max="39" width="8.88671875" style="194"/>
    <col min="40" max="48" width="16.77734375" style="194" customWidth="1"/>
    <col min="49" max="16384" width="8.88671875" style="194"/>
  </cols>
  <sheetData>
    <row r="2" spans="2:48" x14ac:dyDescent="0.25">
      <c r="B2" s="191"/>
      <c r="C2" s="192"/>
      <c r="D2" s="192"/>
      <c r="E2" s="192"/>
      <c r="F2" s="192"/>
      <c r="G2" s="192"/>
      <c r="H2" s="192"/>
      <c r="I2" s="193"/>
    </row>
    <row r="3" spans="2:48" ht="18.75" x14ac:dyDescent="0.3">
      <c r="B3" s="195"/>
      <c r="C3" s="345" t="s">
        <v>357</v>
      </c>
      <c r="D3" s="345"/>
      <c r="E3" s="345"/>
      <c r="F3" s="345"/>
      <c r="G3" s="345"/>
      <c r="H3" s="345"/>
      <c r="I3" s="196"/>
    </row>
    <row r="4" spans="2:48" ht="18.75" x14ac:dyDescent="0.3">
      <c r="B4" s="195"/>
      <c r="C4" s="197" t="s">
        <v>23</v>
      </c>
      <c r="D4" s="198"/>
      <c r="E4" s="198"/>
      <c r="F4" s="198"/>
      <c r="G4" s="198"/>
      <c r="H4" s="198"/>
      <c r="I4" s="196"/>
    </row>
    <row r="5" spans="2:48" x14ac:dyDescent="0.25">
      <c r="B5" s="195"/>
      <c r="C5" s="199" t="s">
        <v>130</v>
      </c>
      <c r="D5" s="198"/>
      <c r="E5" s="198"/>
      <c r="F5" s="198"/>
      <c r="G5" s="198"/>
      <c r="H5" s="198"/>
      <c r="I5" s="196"/>
    </row>
    <row r="6" spans="2:48" x14ac:dyDescent="0.25">
      <c r="B6" s="195"/>
      <c r="C6" s="200"/>
      <c r="D6" s="200"/>
      <c r="E6" s="200"/>
      <c r="F6" s="200"/>
      <c r="G6" s="200"/>
      <c r="H6" s="200"/>
      <c r="I6" s="196"/>
    </row>
    <row r="7" spans="2:48" x14ac:dyDescent="0.25">
      <c r="B7" s="195"/>
      <c r="C7" s="200"/>
      <c r="D7" s="200"/>
      <c r="E7" s="200"/>
      <c r="F7" s="200"/>
      <c r="G7" s="200"/>
      <c r="H7" s="200"/>
      <c r="I7" s="196"/>
    </row>
    <row r="8" spans="2:48" x14ac:dyDescent="0.25">
      <c r="B8" s="195"/>
      <c r="C8" s="201" t="s">
        <v>24</v>
      </c>
      <c r="D8" s="201"/>
      <c r="E8" s="202"/>
      <c r="F8" s="202"/>
      <c r="G8" s="202"/>
      <c r="H8" s="202"/>
      <c r="I8" s="196"/>
      <c r="L8" s="203"/>
      <c r="M8" s="347" t="s">
        <v>391</v>
      </c>
      <c r="N8" s="347"/>
      <c r="O8" s="347"/>
      <c r="P8" s="347"/>
      <c r="Q8" s="347"/>
      <c r="R8" s="204"/>
      <c r="S8" s="203"/>
      <c r="T8" s="347" t="s">
        <v>380</v>
      </c>
      <c r="U8" s="347"/>
      <c r="V8" s="347"/>
      <c r="W8" s="347"/>
      <c r="X8" s="347"/>
      <c r="Y8" s="204"/>
      <c r="Z8" s="203"/>
      <c r="AA8" s="347" t="s">
        <v>381</v>
      </c>
      <c r="AB8" s="347"/>
      <c r="AC8" s="347"/>
      <c r="AD8" s="347"/>
      <c r="AE8" s="347"/>
      <c r="AF8" s="204"/>
      <c r="AM8" s="200"/>
      <c r="AN8" s="346" t="s">
        <v>129</v>
      </c>
      <c r="AO8" s="346"/>
      <c r="AP8" s="346"/>
      <c r="AQ8" s="346"/>
      <c r="AR8" s="346"/>
      <c r="AS8" s="346"/>
      <c r="AT8" s="346"/>
      <c r="AU8" s="346"/>
    </row>
    <row r="9" spans="2:48" ht="6.95" customHeight="1" x14ac:dyDescent="0.25">
      <c r="B9" s="195"/>
      <c r="C9" s="205"/>
      <c r="D9" s="205"/>
      <c r="E9" s="205"/>
      <c r="F9" s="205"/>
      <c r="G9" s="205"/>
      <c r="H9" s="205"/>
      <c r="I9" s="196"/>
      <c r="L9" s="195"/>
      <c r="R9" s="196"/>
      <c r="S9" s="195"/>
      <c r="Y9" s="196"/>
      <c r="Z9" s="195"/>
      <c r="AF9" s="196"/>
      <c r="AM9" s="200"/>
      <c r="AN9" s="200"/>
      <c r="AO9" s="200"/>
      <c r="AP9" s="200"/>
      <c r="AQ9" s="200"/>
      <c r="AR9" s="200"/>
      <c r="AS9" s="200"/>
      <c r="AT9" s="200"/>
    </row>
    <row r="10" spans="2:48" x14ac:dyDescent="0.25">
      <c r="B10" s="195"/>
      <c r="C10" s="206"/>
      <c r="D10" s="198" t="s">
        <v>25</v>
      </c>
      <c r="E10" s="198"/>
      <c r="F10" s="198"/>
      <c r="G10" s="207" t="s">
        <v>384</v>
      </c>
      <c r="H10" s="198"/>
      <c r="I10" s="196"/>
      <c r="L10" s="195"/>
      <c r="R10" s="196"/>
      <c r="S10" s="195"/>
      <c r="Y10" s="196"/>
      <c r="Z10" s="195"/>
      <c r="AF10" s="196"/>
      <c r="AM10" s="200"/>
      <c r="AN10" s="208" t="s">
        <v>127</v>
      </c>
      <c r="AO10" s="208" t="s">
        <v>128</v>
      </c>
      <c r="AP10" s="208" t="s">
        <v>75</v>
      </c>
      <c r="AQ10" s="208" t="s">
        <v>70</v>
      </c>
      <c r="AR10" s="208" t="s">
        <v>71</v>
      </c>
      <c r="AS10" s="208" t="s">
        <v>74</v>
      </c>
      <c r="AT10" s="208" t="s">
        <v>72</v>
      </c>
      <c r="AU10" s="208" t="s">
        <v>73</v>
      </c>
      <c r="AV10" s="200"/>
    </row>
    <row r="11" spans="2:48" x14ac:dyDescent="0.25">
      <c r="B11" s="195"/>
      <c r="C11" s="209" t="s">
        <v>26</v>
      </c>
      <c r="D11" s="210" t="s">
        <v>27</v>
      </c>
      <c r="E11" s="210" t="s">
        <v>28</v>
      </c>
      <c r="F11" s="210" t="s">
        <v>29</v>
      </c>
      <c r="G11" s="211" t="s">
        <v>28</v>
      </c>
      <c r="H11" s="210" t="s">
        <v>29</v>
      </c>
      <c r="I11" s="196"/>
      <c r="L11" s="195"/>
      <c r="M11" s="212" t="s">
        <v>27</v>
      </c>
      <c r="N11" s="213"/>
      <c r="O11" s="212" t="s">
        <v>28</v>
      </c>
      <c r="P11" s="213"/>
      <c r="Q11" s="212" t="s">
        <v>29</v>
      </c>
      <c r="R11" s="214"/>
      <c r="S11" s="195"/>
      <c r="T11" s="212" t="s">
        <v>27</v>
      </c>
      <c r="U11" s="213"/>
      <c r="V11" s="212" t="s">
        <v>28</v>
      </c>
      <c r="W11" s="213"/>
      <c r="X11" s="212" t="s">
        <v>29</v>
      </c>
      <c r="Y11" s="214"/>
      <c r="Z11" s="195"/>
      <c r="AA11" s="212" t="s">
        <v>27</v>
      </c>
      <c r="AB11" s="213"/>
      <c r="AC11" s="212" t="s">
        <v>28</v>
      </c>
      <c r="AD11" s="213"/>
      <c r="AE11" s="212" t="s">
        <v>29</v>
      </c>
      <c r="AF11" s="214"/>
      <c r="AM11" s="27"/>
      <c r="AN11" s="26">
        <v>485</v>
      </c>
      <c r="AO11" s="26">
        <v>572</v>
      </c>
      <c r="AP11" s="26">
        <v>4918</v>
      </c>
      <c r="AQ11" s="26">
        <v>6345</v>
      </c>
      <c r="AR11" s="26">
        <v>5648</v>
      </c>
      <c r="AS11" s="26"/>
      <c r="AT11" s="26">
        <v>2904</v>
      </c>
      <c r="AU11" s="26">
        <v>2856</v>
      </c>
      <c r="AV11" s="200"/>
    </row>
    <row r="12" spans="2:48" x14ac:dyDescent="0.25">
      <c r="B12" s="195"/>
      <c r="C12" s="209" t="s">
        <v>5</v>
      </c>
      <c r="D12" s="209" t="s">
        <v>30</v>
      </c>
      <c r="E12" s="209" t="s">
        <v>31</v>
      </c>
      <c r="F12" s="209" t="s">
        <v>32</v>
      </c>
      <c r="G12" s="215" t="s">
        <v>31</v>
      </c>
      <c r="H12" s="209" t="s">
        <v>32</v>
      </c>
      <c r="I12" s="196"/>
      <c r="L12" s="195"/>
      <c r="M12" s="216" t="s">
        <v>224</v>
      </c>
      <c r="N12" s="213"/>
      <c r="O12" s="216" t="s">
        <v>31</v>
      </c>
      <c r="P12" s="213"/>
      <c r="Q12" s="216" t="s">
        <v>32</v>
      </c>
      <c r="R12" s="214"/>
      <c r="S12" s="195"/>
      <c r="T12" s="216" t="s">
        <v>224</v>
      </c>
      <c r="U12" s="213"/>
      <c r="V12" s="216" t="s">
        <v>31</v>
      </c>
      <c r="W12" s="213"/>
      <c r="X12" s="216" t="s">
        <v>32</v>
      </c>
      <c r="Y12" s="214"/>
      <c r="Z12" s="195"/>
      <c r="AA12" s="216" t="s">
        <v>224</v>
      </c>
      <c r="AB12" s="213"/>
      <c r="AC12" s="216" t="s">
        <v>31</v>
      </c>
      <c r="AD12" s="213"/>
      <c r="AE12" s="216" t="s">
        <v>32</v>
      </c>
      <c r="AF12" s="214"/>
      <c r="AM12" s="27"/>
      <c r="AN12" s="26">
        <v>7746</v>
      </c>
      <c r="AO12" s="26"/>
      <c r="AP12" s="26">
        <v>17425</v>
      </c>
      <c r="AQ12" s="26">
        <v>22654</v>
      </c>
      <c r="AR12" s="26">
        <v>9422</v>
      </c>
      <c r="AS12" s="26"/>
      <c r="AT12" s="26"/>
      <c r="AU12" s="26"/>
      <c r="AV12" s="200"/>
    </row>
    <row r="13" spans="2:48" x14ac:dyDescent="0.25">
      <c r="B13" s="195"/>
      <c r="C13" s="217">
        <v>16</v>
      </c>
      <c r="D13" s="26">
        <v>1336</v>
      </c>
      <c r="E13" s="29">
        <f>D13/5280</f>
        <v>0.25303030303030305</v>
      </c>
      <c r="F13" s="30">
        <f>C13*E13</f>
        <v>4.0484848484848488</v>
      </c>
      <c r="G13" s="218">
        <f>AC13</f>
        <v>0.22</v>
      </c>
      <c r="H13" s="30">
        <f>C13*G13</f>
        <v>3.52</v>
      </c>
      <c r="I13" s="196"/>
      <c r="L13" s="195"/>
      <c r="M13" s="219">
        <v>0</v>
      </c>
      <c r="O13" s="29">
        <f>ROUND(M13/5280,2)</f>
        <v>0</v>
      </c>
      <c r="P13" s="29"/>
      <c r="Q13" s="30">
        <f>ROUND($C13*O13,2)</f>
        <v>0</v>
      </c>
      <c r="R13" s="220"/>
      <c r="S13" s="195"/>
      <c r="T13" s="219">
        <v>1136</v>
      </c>
      <c r="V13" s="29">
        <f>ROUND(T13/5280,2)</f>
        <v>0.22</v>
      </c>
      <c r="W13" s="29"/>
      <c r="X13" s="30">
        <f>ROUND($C13*V13,2)</f>
        <v>3.52</v>
      </c>
      <c r="Y13" s="220"/>
      <c r="Z13" s="195"/>
      <c r="AA13" s="219">
        <f>SUM(M13,T13)</f>
        <v>1136</v>
      </c>
      <c r="AC13" s="29">
        <f>ROUND(AA13/5280,2)</f>
        <v>0.22</v>
      </c>
      <c r="AD13" s="29"/>
      <c r="AE13" s="30">
        <f>ROUND($C13*AC13,2)</f>
        <v>3.52</v>
      </c>
      <c r="AF13" s="220"/>
      <c r="AG13" s="30"/>
      <c r="AH13" s="30"/>
      <c r="AI13" s="30"/>
      <c r="AJ13" s="30"/>
      <c r="AK13" s="30"/>
      <c r="AL13" s="30"/>
      <c r="AM13" s="27"/>
      <c r="AN13" s="26">
        <v>160</v>
      </c>
      <c r="AO13" s="26"/>
      <c r="AP13" s="26">
        <v>846</v>
      </c>
      <c r="AQ13" s="26">
        <v>362</v>
      </c>
      <c r="AR13" s="26">
        <v>3676</v>
      </c>
      <c r="AS13" s="26"/>
      <c r="AT13" s="26"/>
      <c r="AU13" s="26"/>
      <c r="AV13" s="200"/>
    </row>
    <row r="14" spans="2:48" x14ac:dyDescent="0.25">
      <c r="B14" s="195"/>
      <c r="C14" s="217">
        <v>12</v>
      </c>
      <c r="D14" s="26">
        <v>6488</v>
      </c>
      <c r="E14" s="29">
        <f t="shared" ref="E14:E20" si="0">D14/5280</f>
        <v>1.2287878787878788</v>
      </c>
      <c r="F14" s="30">
        <f t="shared" ref="F14:F20" si="1">C14*E14</f>
        <v>14.745454545454546</v>
      </c>
      <c r="G14" s="218">
        <f t="shared" ref="G14:G20" si="2">AC14</f>
        <v>1.55</v>
      </c>
      <c r="H14" s="30">
        <f t="shared" ref="H14:H20" si="3">C14*G14</f>
        <v>18.600000000000001</v>
      </c>
      <c r="I14" s="196"/>
      <c r="L14" s="195"/>
      <c r="M14" s="219">
        <v>5502</v>
      </c>
      <c r="O14" s="29">
        <f t="shared" ref="O14:O20" si="4">ROUND(M14/5280,2)</f>
        <v>1.04</v>
      </c>
      <c r="P14" s="29"/>
      <c r="Q14" s="30">
        <f>ROUND($C14*O14,2)</f>
        <v>12.48</v>
      </c>
      <c r="R14" s="220"/>
      <c r="S14" s="195"/>
      <c r="T14" s="219">
        <v>2679</v>
      </c>
      <c r="V14" s="29">
        <f t="shared" ref="V14:V20" si="5">ROUND(T14/5280,2)</f>
        <v>0.51</v>
      </c>
      <c r="W14" s="29"/>
      <c r="X14" s="30">
        <f>ROUND($C14*V14,2)</f>
        <v>6.12</v>
      </c>
      <c r="Y14" s="220"/>
      <c r="Z14" s="195"/>
      <c r="AA14" s="219">
        <f t="shared" ref="AA14:AA20" si="6">SUM(M14,T14)</f>
        <v>8181</v>
      </c>
      <c r="AC14" s="29">
        <f t="shared" ref="AC14:AC20" si="7">ROUND(AA14/5280,2)</f>
        <v>1.55</v>
      </c>
      <c r="AD14" s="29"/>
      <c r="AE14" s="30">
        <f>ROUND($C14*AC14,2)</f>
        <v>18.600000000000001</v>
      </c>
      <c r="AF14" s="220"/>
      <c r="AG14" s="30"/>
      <c r="AH14" s="30"/>
      <c r="AI14" s="30"/>
      <c r="AJ14" s="30"/>
      <c r="AK14" s="30"/>
      <c r="AL14" s="30"/>
      <c r="AM14" s="27"/>
      <c r="AN14" s="26">
        <v>2796</v>
      </c>
      <c r="AO14" s="26"/>
      <c r="AP14" s="26">
        <v>826</v>
      </c>
      <c r="AQ14" s="26">
        <v>1151</v>
      </c>
      <c r="AR14" s="26">
        <v>11650</v>
      </c>
      <c r="AS14" s="26"/>
      <c r="AT14" s="26"/>
      <c r="AU14" s="26"/>
      <c r="AV14" s="200"/>
    </row>
    <row r="15" spans="2:48" x14ac:dyDescent="0.25">
      <c r="B15" s="195"/>
      <c r="C15" s="217">
        <v>10</v>
      </c>
      <c r="D15" s="26">
        <v>0</v>
      </c>
      <c r="E15" s="29">
        <f t="shared" si="0"/>
        <v>0</v>
      </c>
      <c r="F15" s="30">
        <f t="shared" si="1"/>
        <v>0</v>
      </c>
      <c r="G15" s="218">
        <f t="shared" si="2"/>
        <v>0</v>
      </c>
      <c r="H15" s="30">
        <f t="shared" si="3"/>
        <v>0</v>
      </c>
      <c r="I15" s="196"/>
      <c r="L15" s="195"/>
      <c r="M15" s="219">
        <v>0</v>
      </c>
      <c r="O15" s="29">
        <f t="shared" si="4"/>
        <v>0</v>
      </c>
      <c r="P15" s="29"/>
      <c r="Q15" s="30">
        <f t="shared" ref="Q15:Q20" si="8">ROUND($C15*O15,2)</f>
        <v>0</v>
      </c>
      <c r="R15" s="220"/>
      <c r="S15" s="195"/>
      <c r="T15" s="219">
        <v>0</v>
      </c>
      <c r="V15" s="29">
        <f t="shared" si="5"/>
        <v>0</v>
      </c>
      <c r="W15" s="29"/>
      <c r="X15" s="30">
        <f t="shared" ref="X15:X20" si="9">ROUND($C15*V15,2)</f>
        <v>0</v>
      </c>
      <c r="Y15" s="220"/>
      <c r="Z15" s="195"/>
      <c r="AA15" s="219">
        <f t="shared" si="6"/>
        <v>0</v>
      </c>
      <c r="AC15" s="29">
        <f t="shared" si="7"/>
        <v>0</v>
      </c>
      <c r="AD15" s="29"/>
      <c r="AE15" s="30">
        <f t="shared" ref="AE15:AE20" si="10">ROUND($C15*AC15,2)</f>
        <v>0</v>
      </c>
      <c r="AF15" s="220"/>
      <c r="AG15" s="30"/>
      <c r="AH15" s="30"/>
      <c r="AI15" s="30"/>
      <c r="AJ15" s="30"/>
      <c r="AK15" s="30"/>
      <c r="AL15" s="30"/>
      <c r="AM15" s="27"/>
      <c r="AN15" s="26">
        <v>281</v>
      </c>
      <c r="AO15" s="26"/>
      <c r="AP15" s="26">
        <v>4103</v>
      </c>
      <c r="AQ15" s="26">
        <v>345</v>
      </c>
      <c r="AR15" s="26">
        <v>138</v>
      </c>
      <c r="AS15" s="26"/>
      <c r="AT15" s="26"/>
      <c r="AU15" s="26"/>
      <c r="AV15" s="27"/>
    </row>
    <row r="16" spans="2:48" x14ac:dyDescent="0.25">
      <c r="B16" s="195"/>
      <c r="C16" s="217">
        <v>8</v>
      </c>
      <c r="D16" s="26">
        <v>28318</v>
      </c>
      <c r="E16" s="29">
        <f t="shared" si="0"/>
        <v>5.3632575757575758</v>
      </c>
      <c r="F16" s="30">
        <f t="shared" si="1"/>
        <v>42.906060606060606</v>
      </c>
      <c r="G16" s="218">
        <f t="shared" si="2"/>
        <v>2.86</v>
      </c>
      <c r="H16" s="30">
        <f t="shared" si="3"/>
        <v>22.88</v>
      </c>
      <c r="I16" s="196"/>
      <c r="L16" s="195"/>
      <c r="M16" s="219">
        <v>4492</v>
      </c>
      <c r="O16" s="29">
        <f t="shared" si="4"/>
        <v>0.85</v>
      </c>
      <c r="P16" s="29"/>
      <c r="Q16" s="30">
        <f t="shared" si="8"/>
        <v>6.8</v>
      </c>
      <c r="R16" s="220"/>
      <c r="S16" s="195"/>
      <c r="T16" s="219">
        <v>10596</v>
      </c>
      <c r="V16" s="29">
        <f t="shared" si="5"/>
        <v>2.0099999999999998</v>
      </c>
      <c r="W16" s="29"/>
      <c r="X16" s="30">
        <f t="shared" si="9"/>
        <v>16.079999999999998</v>
      </c>
      <c r="Y16" s="220"/>
      <c r="Z16" s="195"/>
      <c r="AA16" s="219">
        <f t="shared" si="6"/>
        <v>15088</v>
      </c>
      <c r="AC16" s="29">
        <f t="shared" si="7"/>
        <v>2.86</v>
      </c>
      <c r="AD16" s="29"/>
      <c r="AE16" s="30">
        <f t="shared" si="10"/>
        <v>22.88</v>
      </c>
      <c r="AF16" s="220"/>
      <c r="AG16" s="30"/>
      <c r="AH16" s="30"/>
      <c r="AI16" s="30"/>
      <c r="AJ16" s="30"/>
      <c r="AK16" s="30"/>
      <c r="AL16" s="30"/>
      <c r="AM16" s="27"/>
      <c r="AN16" s="26"/>
      <c r="AO16" s="26"/>
      <c r="AP16" s="26">
        <v>624</v>
      </c>
      <c r="AQ16" s="26">
        <v>1852</v>
      </c>
      <c r="AR16" s="26">
        <v>7887</v>
      </c>
      <c r="AS16" s="26"/>
      <c r="AT16" s="26"/>
      <c r="AU16" s="26"/>
      <c r="AV16" s="27"/>
    </row>
    <row r="17" spans="2:48" x14ac:dyDescent="0.25">
      <c r="B17" s="195"/>
      <c r="C17" s="217">
        <v>6</v>
      </c>
      <c r="D17" s="28">
        <v>29522</v>
      </c>
      <c r="E17" s="29">
        <f t="shared" si="0"/>
        <v>5.5912878787878784</v>
      </c>
      <c r="F17" s="30">
        <f t="shared" si="1"/>
        <v>33.547727272727272</v>
      </c>
      <c r="G17" s="218">
        <f t="shared" si="2"/>
        <v>1.26</v>
      </c>
      <c r="H17" s="30">
        <f t="shared" si="3"/>
        <v>7.5600000000000005</v>
      </c>
      <c r="I17" s="196"/>
      <c r="L17" s="195"/>
      <c r="M17" s="219">
        <v>6653</v>
      </c>
      <c r="O17" s="29">
        <f t="shared" si="4"/>
        <v>1.26</v>
      </c>
      <c r="P17" s="29"/>
      <c r="Q17" s="30">
        <f t="shared" si="8"/>
        <v>7.56</v>
      </c>
      <c r="R17" s="220"/>
      <c r="S17" s="195"/>
      <c r="T17" s="219">
        <v>0</v>
      </c>
      <c r="V17" s="29">
        <f t="shared" si="5"/>
        <v>0</v>
      </c>
      <c r="W17" s="29"/>
      <c r="X17" s="30">
        <f t="shared" si="9"/>
        <v>0</v>
      </c>
      <c r="Y17" s="220"/>
      <c r="Z17" s="195"/>
      <c r="AA17" s="219">
        <f t="shared" si="6"/>
        <v>6653</v>
      </c>
      <c r="AC17" s="29">
        <f t="shared" si="7"/>
        <v>1.26</v>
      </c>
      <c r="AD17" s="29"/>
      <c r="AE17" s="30">
        <f t="shared" si="10"/>
        <v>7.56</v>
      </c>
      <c r="AF17" s="220"/>
      <c r="AG17" s="30"/>
      <c r="AH17" s="30"/>
      <c r="AI17" s="30"/>
      <c r="AJ17" s="30"/>
      <c r="AK17" s="30"/>
      <c r="AL17" s="30"/>
      <c r="AM17" s="27"/>
      <c r="AN17" s="26"/>
      <c r="AO17" s="26"/>
      <c r="AP17" s="26"/>
      <c r="AQ17" s="26"/>
      <c r="AR17" s="26"/>
      <c r="AS17" s="26"/>
      <c r="AT17" s="26"/>
      <c r="AU17" s="26"/>
      <c r="AV17" s="27"/>
    </row>
    <row r="18" spans="2:48" x14ac:dyDescent="0.25">
      <c r="B18" s="195"/>
      <c r="C18" s="217">
        <v>4</v>
      </c>
      <c r="D18" s="28">
        <v>30476</v>
      </c>
      <c r="E18" s="29">
        <f t="shared" si="0"/>
        <v>5.7719696969696965</v>
      </c>
      <c r="F18" s="30">
        <f t="shared" si="1"/>
        <v>23.087878787878786</v>
      </c>
      <c r="G18" s="218">
        <f t="shared" si="2"/>
        <v>0.93</v>
      </c>
      <c r="H18" s="30">
        <f t="shared" si="3"/>
        <v>3.72</v>
      </c>
      <c r="I18" s="196"/>
      <c r="L18" s="195"/>
      <c r="M18" s="219">
        <v>4905</v>
      </c>
      <c r="O18" s="29">
        <f t="shared" si="4"/>
        <v>0.93</v>
      </c>
      <c r="P18" s="29"/>
      <c r="Q18" s="30">
        <f t="shared" si="8"/>
        <v>3.72</v>
      </c>
      <c r="R18" s="220"/>
      <c r="S18" s="195"/>
      <c r="T18" s="219">
        <v>0</v>
      </c>
      <c r="V18" s="29">
        <f t="shared" si="5"/>
        <v>0</v>
      </c>
      <c r="W18" s="29"/>
      <c r="X18" s="30">
        <f t="shared" si="9"/>
        <v>0</v>
      </c>
      <c r="Y18" s="220"/>
      <c r="Z18" s="195"/>
      <c r="AA18" s="219">
        <f t="shared" si="6"/>
        <v>4905</v>
      </c>
      <c r="AC18" s="29">
        <f t="shared" si="7"/>
        <v>0.93</v>
      </c>
      <c r="AD18" s="29"/>
      <c r="AE18" s="30">
        <f t="shared" si="10"/>
        <v>3.72</v>
      </c>
      <c r="AF18" s="220"/>
      <c r="AG18" s="30"/>
      <c r="AH18" s="30"/>
      <c r="AI18" s="30"/>
      <c r="AJ18" s="30"/>
      <c r="AK18" s="30"/>
      <c r="AL18" s="30"/>
      <c r="AM18" s="27" t="s">
        <v>121</v>
      </c>
      <c r="AN18" s="26">
        <f>SUM(AN11:AN17)</f>
        <v>11468</v>
      </c>
      <c r="AO18" s="26">
        <f t="shared" ref="AO18:AU18" si="11">SUM(AO11:AO17)</f>
        <v>572</v>
      </c>
      <c r="AP18" s="26">
        <f t="shared" si="11"/>
        <v>28742</v>
      </c>
      <c r="AQ18" s="26">
        <f t="shared" si="11"/>
        <v>32709</v>
      </c>
      <c r="AR18" s="26">
        <f t="shared" si="11"/>
        <v>38421</v>
      </c>
      <c r="AS18" s="26">
        <f t="shared" si="11"/>
        <v>0</v>
      </c>
      <c r="AT18" s="26">
        <f t="shared" si="11"/>
        <v>2904</v>
      </c>
      <c r="AU18" s="26">
        <f t="shared" si="11"/>
        <v>2856</v>
      </c>
      <c r="AV18" s="221">
        <f>SUM(AN18:AU18)</f>
        <v>117672</v>
      </c>
    </row>
    <row r="19" spans="2:48" x14ac:dyDescent="0.25">
      <c r="B19" s="195"/>
      <c r="C19" s="217">
        <v>2</v>
      </c>
      <c r="D19" s="28">
        <v>7692</v>
      </c>
      <c r="E19" s="29">
        <f t="shared" si="0"/>
        <v>1.4568181818181818</v>
      </c>
      <c r="F19" s="30">
        <f t="shared" si="1"/>
        <v>2.9136363636363636</v>
      </c>
      <c r="G19" s="218">
        <f t="shared" si="2"/>
        <v>0</v>
      </c>
      <c r="H19" s="30">
        <f t="shared" si="3"/>
        <v>0</v>
      </c>
      <c r="I19" s="196"/>
      <c r="L19" s="195"/>
      <c r="M19" s="219">
        <v>0</v>
      </c>
      <c r="O19" s="29">
        <f t="shared" si="4"/>
        <v>0</v>
      </c>
      <c r="P19" s="29"/>
      <c r="Q19" s="30">
        <f t="shared" si="8"/>
        <v>0</v>
      </c>
      <c r="R19" s="220"/>
      <c r="S19" s="195"/>
      <c r="T19" s="219">
        <v>0</v>
      </c>
      <c r="V19" s="29">
        <f t="shared" si="5"/>
        <v>0</v>
      </c>
      <c r="W19" s="29"/>
      <c r="X19" s="30">
        <f t="shared" si="9"/>
        <v>0</v>
      </c>
      <c r="Y19" s="220"/>
      <c r="Z19" s="195"/>
      <c r="AA19" s="219">
        <f t="shared" si="6"/>
        <v>0</v>
      </c>
      <c r="AC19" s="29">
        <f t="shared" si="7"/>
        <v>0</v>
      </c>
      <c r="AD19" s="29"/>
      <c r="AE19" s="30">
        <f t="shared" si="10"/>
        <v>0</v>
      </c>
      <c r="AF19" s="220"/>
      <c r="AG19" s="30"/>
      <c r="AH19" s="30"/>
      <c r="AI19" s="30"/>
      <c r="AJ19" s="30"/>
      <c r="AK19" s="30"/>
      <c r="AL19" s="30"/>
      <c r="AM19" s="27" t="s">
        <v>76</v>
      </c>
      <c r="AN19" s="27">
        <f t="shared" ref="AN19:AO19" si="12">AN18/5280</f>
        <v>2.1719696969696969</v>
      </c>
      <c r="AO19" s="27">
        <f t="shared" si="12"/>
        <v>0.10833333333333334</v>
      </c>
      <c r="AP19" s="27">
        <f>AP18/5280</f>
        <v>5.4435606060606059</v>
      </c>
      <c r="AQ19" s="27">
        <f t="shared" ref="AQ19:AU19" si="13">AQ18/5280</f>
        <v>6.194886363636364</v>
      </c>
      <c r="AR19" s="27">
        <f t="shared" si="13"/>
        <v>7.2767045454545451</v>
      </c>
      <c r="AS19" s="27">
        <f t="shared" si="13"/>
        <v>0</v>
      </c>
      <c r="AT19" s="27">
        <f t="shared" si="13"/>
        <v>0.55000000000000004</v>
      </c>
      <c r="AU19" s="27">
        <f t="shared" si="13"/>
        <v>0.54090909090909089</v>
      </c>
      <c r="AV19" s="27">
        <f>SUM(AN19:AU19)</f>
        <v>22.286363636363635</v>
      </c>
    </row>
    <row r="20" spans="2:48" x14ac:dyDescent="0.25">
      <c r="B20" s="195"/>
      <c r="C20" s="217">
        <v>1</v>
      </c>
      <c r="D20" s="28">
        <v>1697</v>
      </c>
      <c r="E20" s="29">
        <f t="shared" si="0"/>
        <v>0.32140151515151516</v>
      </c>
      <c r="F20" s="328">
        <f t="shared" si="1"/>
        <v>0.32140151515151516</v>
      </c>
      <c r="G20" s="218">
        <f t="shared" si="2"/>
        <v>0</v>
      </c>
      <c r="H20" s="30">
        <f t="shared" si="3"/>
        <v>0</v>
      </c>
      <c r="I20" s="196"/>
      <c r="L20" s="195"/>
      <c r="M20" s="228">
        <v>0</v>
      </c>
      <c r="O20" s="223">
        <f t="shared" si="4"/>
        <v>0</v>
      </c>
      <c r="P20" s="29"/>
      <c r="Q20" s="226">
        <f t="shared" si="8"/>
        <v>0</v>
      </c>
      <c r="R20" s="220"/>
      <c r="S20" s="195"/>
      <c r="T20" s="228">
        <v>0</v>
      </c>
      <c r="V20" s="223">
        <f t="shared" si="5"/>
        <v>0</v>
      </c>
      <c r="W20" s="29"/>
      <c r="X20" s="226">
        <f t="shared" si="9"/>
        <v>0</v>
      </c>
      <c r="Y20" s="220"/>
      <c r="Z20" s="195"/>
      <c r="AA20" s="228">
        <f t="shared" si="6"/>
        <v>0</v>
      </c>
      <c r="AC20" s="223">
        <f t="shared" si="7"/>
        <v>0</v>
      </c>
      <c r="AD20" s="29"/>
      <c r="AE20" s="226">
        <f t="shared" si="10"/>
        <v>0</v>
      </c>
      <c r="AF20" s="220"/>
      <c r="AG20" s="30"/>
      <c r="AH20" s="30"/>
      <c r="AI20" s="30"/>
      <c r="AJ20" s="30"/>
      <c r="AK20" s="30"/>
      <c r="AL20" s="30"/>
      <c r="AM20" s="27"/>
      <c r="AN20" s="26"/>
      <c r="AO20" s="26"/>
      <c r="AP20" s="26"/>
      <c r="AQ20" s="26"/>
      <c r="AR20" s="26"/>
      <c r="AS20" s="26"/>
      <c r="AT20" s="26"/>
      <c r="AU20" s="26"/>
      <c r="AV20" s="27"/>
    </row>
    <row r="21" spans="2:48" ht="16.5" thickBot="1" x14ac:dyDescent="0.3">
      <c r="B21" s="195"/>
      <c r="C21" s="217" t="s">
        <v>4</v>
      </c>
      <c r="D21" s="329">
        <f>SUM(D13:D20)</f>
        <v>105529</v>
      </c>
      <c r="E21" s="330">
        <f>SUM(E13:E20)</f>
        <v>19.986553030303032</v>
      </c>
      <c r="F21" s="330">
        <f>SUM(F13:F20)</f>
        <v>121.57064393939395</v>
      </c>
      <c r="G21" s="330">
        <f>SUM(G13:G20)</f>
        <v>6.8199999999999994</v>
      </c>
      <c r="H21" s="330">
        <f>SUM(H13:H20)</f>
        <v>56.28</v>
      </c>
      <c r="I21" s="331"/>
      <c r="L21" s="229"/>
      <c r="M21" s="228">
        <f>SUM(M13:M20)</f>
        <v>21552</v>
      </c>
      <c r="N21" s="230"/>
      <c r="O21" s="230">
        <f t="shared" ref="O21:Q21" si="14">SUM(O13:O20)</f>
        <v>4.08</v>
      </c>
      <c r="P21" s="230"/>
      <c r="Q21" s="230">
        <f t="shared" si="14"/>
        <v>30.56</v>
      </c>
      <c r="R21" s="227"/>
      <c r="S21" s="229"/>
      <c r="T21" s="228">
        <f>SUM(T13:T20)</f>
        <v>14411</v>
      </c>
      <c r="U21" s="230"/>
      <c r="V21" s="230">
        <f t="shared" ref="V21" si="15">SUM(V13:V20)</f>
        <v>2.7399999999999998</v>
      </c>
      <c r="W21" s="230"/>
      <c r="X21" s="230">
        <f t="shared" ref="X21" si="16">SUM(X13:X20)</f>
        <v>25.72</v>
      </c>
      <c r="Y21" s="227"/>
      <c r="Z21" s="229"/>
      <c r="AA21" s="228">
        <f>SUM(AA13:AA20)</f>
        <v>35963</v>
      </c>
      <c r="AB21" s="230"/>
      <c r="AC21" s="230">
        <f t="shared" ref="AC21" si="17">SUM(AC13:AC20)</f>
        <v>6.8199999999999994</v>
      </c>
      <c r="AD21" s="230"/>
      <c r="AE21" s="230">
        <f t="shared" ref="AE21" si="18">SUM(AE13:AE20)</f>
        <v>56.28</v>
      </c>
      <c r="AF21" s="227"/>
      <c r="AM21" s="27"/>
      <c r="AN21" s="346" t="s">
        <v>354</v>
      </c>
      <c r="AO21" s="346"/>
      <c r="AP21" s="346"/>
      <c r="AQ21" s="346"/>
      <c r="AR21" s="346"/>
      <c r="AS21" s="346"/>
      <c r="AT21" s="346"/>
      <c r="AU21" s="346"/>
      <c r="AV21" s="27"/>
    </row>
    <row r="22" spans="2:48" ht="16.5" thickTop="1" x14ac:dyDescent="0.25">
      <c r="B22" s="195"/>
      <c r="C22" s="200"/>
      <c r="D22" s="200"/>
      <c r="E22" s="200"/>
      <c r="F22" s="200"/>
      <c r="G22" s="200"/>
      <c r="H22" s="200"/>
      <c r="I22" s="196"/>
      <c r="AM22" s="27"/>
      <c r="AN22" s="27" t="e">
        <f>#REF!</f>
        <v>#REF!</v>
      </c>
      <c r="AO22" s="27" t="e">
        <f>#REF!</f>
        <v>#REF!</v>
      </c>
      <c r="AP22" s="27" t="e">
        <f>#REF!</f>
        <v>#REF!</v>
      </c>
      <c r="AQ22" s="27" t="e">
        <f>#REF!</f>
        <v>#REF!</v>
      </c>
      <c r="AR22" s="27" t="e">
        <f>#REF!</f>
        <v>#REF!</v>
      </c>
      <c r="AS22" s="27" t="e">
        <f>#REF!</f>
        <v>#REF!</v>
      </c>
      <c r="AT22" s="27" t="e">
        <f>#REF!</f>
        <v>#REF!</v>
      </c>
      <c r="AU22" s="27" t="e">
        <f>#REF!</f>
        <v>#REF!</v>
      </c>
      <c r="AV22" s="27" t="e">
        <f>SUM(AN22:AU22)</f>
        <v>#REF!</v>
      </c>
    </row>
    <row r="23" spans="2:48" x14ac:dyDescent="0.25">
      <c r="B23" s="195"/>
      <c r="C23" s="200"/>
      <c r="D23" s="200"/>
      <c r="E23" s="200"/>
      <c r="F23" s="200"/>
      <c r="G23" s="200"/>
      <c r="H23" s="200"/>
      <c r="I23" s="196"/>
      <c r="AM23" s="27"/>
      <c r="AN23" s="26"/>
      <c r="AO23" s="26"/>
      <c r="AP23" s="26"/>
      <c r="AQ23" s="26"/>
      <c r="AR23" s="26"/>
      <c r="AS23" s="26"/>
      <c r="AT23" s="26"/>
      <c r="AU23" s="26"/>
      <c r="AV23" s="27"/>
    </row>
    <row r="24" spans="2:48" x14ac:dyDescent="0.25">
      <c r="B24" s="195"/>
      <c r="C24" s="200"/>
      <c r="D24" s="200"/>
      <c r="E24" s="200"/>
      <c r="F24" s="200"/>
      <c r="G24" s="200"/>
      <c r="H24" s="200"/>
      <c r="I24" s="196"/>
      <c r="AM24" s="27"/>
      <c r="AN24" s="231">
        <v>2</v>
      </c>
      <c r="AO24" s="231">
        <v>3</v>
      </c>
      <c r="AP24" s="231">
        <v>4</v>
      </c>
      <c r="AQ24" s="231">
        <v>6</v>
      </c>
      <c r="AR24" s="231">
        <v>8</v>
      </c>
      <c r="AS24" s="231">
        <v>10</v>
      </c>
      <c r="AT24" s="231">
        <v>12</v>
      </c>
      <c r="AU24" s="231">
        <v>16</v>
      </c>
      <c r="AV24" s="232" t="s">
        <v>355</v>
      </c>
    </row>
    <row r="25" spans="2:48" x14ac:dyDescent="0.25">
      <c r="B25" s="195"/>
      <c r="C25" s="200"/>
      <c r="D25" s="201" t="s">
        <v>33</v>
      </c>
      <c r="E25" s="201"/>
      <c r="F25" s="201"/>
      <c r="G25" s="201"/>
      <c r="H25" s="200"/>
      <c r="I25" s="196"/>
      <c r="AM25" s="27" t="s">
        <v>343</v>
      </c>
      <c r="AN25" s="233" t="e">
        <f>#REF!</f>
        <v>#REF!</v>
      </c>
      <c r="AO25" s="233" t="e">
        <f>#REF!</f>
        <v>#REF!</v>
      </c>
      <c r="AP25" s="233" t="e">
        <f>#REF!</f>
        <v>#REF!</v>
      </c>
      <c r="AQ25" s="233" t="e">
        <f>#REF!</f>
        <v>#REF!</v>
      </c>
      <c r="AR25" s="233" t="e">
        <f>#REF!</f>
        <v>#REF!</v>
      </c>
      <c r="AS25" s="233" t="e">
        <f>#REF!</f>
        <v>#REF!</v>
      </c>
      <c r="AT25" s="233" t="e">
        <f>#REF!</f>
        <v>#REF!</v>
      </c>
      <c r="AU25" s="233" t="e">
        <f>#REF!</f>
        <v>#REF!</v>
      </c>
      <c r="AV25" s="234" t="e">
        <f>SUM(AN25:AU25)</f>
        <v>#REF!</v>
      </c>
    </row>
    <row r="26" spans="2:48" ht="6.95" customHeight="1" x14ac:dyDescent="0.25">
      <c r="B26" s="195"/>
      <c r="C26" s="200"/>
      <c r="D26" s="205"/>
      <c r="E26" s="205"/>
      <c r="F26" s="205"/>
      <c r="G26" s="205"/>
      <c r="H26" s="200"/>
      <c r="I26" s="196"/>
      <c r="AM26" s="27"/>
      <c r="AN26" s="26"/>
      <c r="AO26" s="26"/>
      <c r="AP26" s="26"/>
      <c r="AQ26" s="26"/>
      <c r="AR26" s="26"/>
      <c r="AS26" s="26"/>
      <c r="AT26" s="26"/>
      <c r="AU26" s="27"/>
      <c r="AV26" s="234"/>
    </row>
    <row r="27" spans="2:48" x14ac:dyDescent="0.25">
      <c r="B27" s="195"/>
      <c r="C27" s="200"/>
      <c r="D27" s="200"/>
      <c r="E27" s="200"/>
      <c r="F27" s="209" t="s">
        <v>34</v>
      </c>
      <c r="G27" s="209"/>
      <c r="H27" s="200"/>
      <c r="I27" s="196"/>
      <c r="AM27" s="194" t="s">
        <v>344</v>
      </c>
      <c r="AN27" s="233" t="e">
        <f>#REF!</f>
        <v>#REF!</v>
      </c>
      <c r="AO27" s="233" t="e">
        <f>#REF!</f>
        <v>#REF!</v>
      </c>
      <c r="AP27" s="233" t="e">
        <f>#REF!</f>
        <v>#REF!</v>
      </c>
      <c r="AQ27" s="233" t="e">
        <f>#REF!</f>
        <v>#REF!</v>
      </c>
      <c r="AR27" s="233" t="e">
        <f>#REF!</f>
        <v>#REF!</v>
      </c>
      <c r="AS27" s="233" t="e">
        <f>#REF!</f>
        <v>#REF!</v>
      </c>
      <c r="AT27" s="233" t="e">
        <f>#REF!</f>
        <v>#REF!</v>
      </c>
      <c r="AU27" s="233" t="e">
        <f>#REF!</f>
        <v>#REF!</v>
      </c>
      <c r="AV27" s="234" t="e">
        <f>SUM(AN27:AU27)</f>
        <v>#REF!</v>
      </c>
    </row>
    <row r="28" spans="2:48" ht="16.5" thickBot="1" x14ac:dyDescent="0.3">
      <c r="B28" s="195"/>
      <c r="C28" s="200"/>
      <c r="D28" s="200"/>
      <c r="E28" s="200"/>
      <c r="F28" s="209" t="s">
        <v>35</v>
      </c>
      <c r="G28" s="209" t="s">
        <v>6</v>
      </c>
      <c r="H28" s="200"/>
      <c r="I28" s="196"/>
      <c r="AM28" s="194" t="s">
        <v>10</v>
      </c>
      <c r="AN28" s="235" t="e">
        <f>SUM(AN25:AN27)</f>
        <v>#REF!</v>
      </c>
      <c r="AO28" s="235" t="e">
        <f t="shared" ref="AO28:AP28" si="19">SUM(AO25:AO27)</f>
        <v>#REF!</v>
      </c>
      <c r="AP28" s="235" t="e">
        <f t="shared" si="19"/>
        <v>#REF!</v>
      </c>
      <c r="AQ28" s="235" t="e">
        <f>SUM(AQ25:AQ27)</f>
        <v>#REF!</v>
      </c>
      <c r="AR28" s="235" t="e">
        <f>SUM(AR25:AR27)</f>
        <v>#REF!</v>
      </c>
      <c r="AS28" s="235" t="e">
        <f>SUM(AS25:AS27)</f>
        <v>#REF!</v>
      </c>
      <c r="AT28" s="235" t="e">
        <f>SUM(AT25:AT27)</f>
        <v>#REF!</v>
      </c>
      <c r="AU28" s="235" t="e">
        <f>SUM(AU25:AU27)</f>
        <v>#REF!</v>
      </c>
      <c r="AV28" s="235" t="e">
        <f>SUM(AN28:AU28)</f>
        <v>#REF!</v>
      </c>
    </row>
    <row r="29" spans="2:48" ht="16.5" thickTop="1" x14ac:dyDescent="0.25">
      <c r="B29" s="195"/>
      <c r="C29" s="200"/>
      <c r="D29" s="236" t="s">
        <v>59</v>
      </c>
      <c r="E29" s="236"/>
      <c r="F29" s="237">
        <v>326664.59100000001</v>
      </c>
      <c r="G29" s="236"/>
      <c r="H29" s="200"/>
      <c r="I29" s="196"/>
      <c r="AM29" s="200"/>
      <c r="AN29" s="200"/>
      <c r="AO29" s="200"/>
      <c r="AP29" s="200"/>
      <c r="AQ29" s="200"/>
      <c r="AR29" s="200"/>
      <c r="AS29" s="200"/>
      <c r="AT29" s="27"/>
    </row>
    <row r="30" spans="2:48" x14ac:dyDescent="0.25">
      <c r="B30" s="195"/>
      <c r="C30" s="200"/>
      <c r="D30" s="236" t="s">
        <v>36</v>
      </c>
      <c r="E30" s="236"/>
      <c r="F30" s="237">
        <f>AO51/1000</f>
        <v>69359.62</v>
      </c>
      <c r="G30" s="240">
        <f>F30/F32</f>
        <v>0.27862161884225173</v>
      </c>
      <c r="H30" s="200"/>
      <c r="I30" s="196"/>
    </row>
    <row r="31" spans="2:48" x14ac:dyDescent="0.25">
      <c r="B31" s="195"/>
      <c r="C31" s="200"/>
      <c r="D31" s="236" t="s">
        <v>37</v>
      </c>
      <c r="E31" s="236"/>
      <c r="F31" s="237">
        <f>AP42</f>
        <v>179578.78</v>
      </c>
      <c r="G31" s="240">
        <f>F31/F32</f>
        <v>0.72137838115774833</v>
      </c>
      <c r="H31" s="200"/>
      <c r="I31" s="196"/>
    </row>
    <row r="32" spans="2:48" x14ac:dyDescent="0.25">
      <c r="B32" s="195"/>
      <c r="C32" s="200"/>
      <c r="D32" s="236" t="s">
        <v>38</v>
      </c>
      <c r="E32" s="236"/>
      <c r="F32" s="237">
        <f>SUM(F30:F31)</f>
        <v>248938.4</v>
      </c>
      <c r="G32" s="240"/>
      <c r="H32" s="200"/>
      <c r="I32" s="196"/>
    </row>
    <row r="33" spans="2:46" x14ac:dyDescent="0.25">
      <c r="B33" s="195"/>
      <c r="C33" s="200"/>
      <c r="D33" s="236"/>
      <c r="E33" s="236"/>
      <c r="F33" s="237"/>
      <c r="G33" s="240"/>
      <c r="H33" s="200"/>
      <c r="I33" s="196"/>
    </row>
    <row r="34" spans="2:46" x14ac:dyDescent="0.25">
      <c r="B34" s="195"/>
      <c r="C34" s="200"/>
      <c r="D34" s="236" t="s">
        <v>60</v>
      </c>
      <c r="E34" s="236"/>
      <c r="F34" s="237">
        <v>7809.8280000000004</v>
      </c>
      <c r="G34" s="240">
        <f>F34/$F$29</f>
        <v>2.3907788646734596E-2</v>
      </c>
      <c r="H34" s="200"/>
      <c r="I34" s="196"/>
    </row>
    <row r="35" spans="2:46" x14ac:dyDescent="0.25">
      <c r="B35" s="195"/>
      <c r="C35" s="200"/>
      <c r="D35" s="236" t="s">
        <v>39</v>
      </c>
      <c r="E35" s="236"/>
      <c r="F35" s="237">
        <f>1160.515+12</f>
        <v>1172.5150000000001</v>
      </c>
      <c r="G35" s="240">
        <f>F35/$F$29</f>
        <v>3.5893544397041796E-3</v>
      </c>
      <c r="H35" s="200"/>
      <c r="I35" s="196"/>
    </row>
    <row r="36" spans="2:46" x14ac:dyDescent="0.25">
      <c r="B36" s="195"/>
      <c r="C36" s="200"/>
      <c r="D36" s="236" t="s">
        <v>40</v>
      </c>
      <c r="E36" s="236"/>
      <c r="F36" s="237">
        <f>F29-F32-F34-F35</f>
        <v>68743.848000000027</v>
      </c>
      <c r="G36" s="240">
        <f>F36/$F$29</f>
        <v>0.21044168818407388</v>
      </c>
      <c r="H36" s="200"/>
      <c r="I36" s="196"/>
    </row>
    <row r="37" spans="2:46" x14ac:dyDescent="0.25">
      <c r="B37" s="195"/>
      <c r="C37" s="200"/>
      <c r="D37" s="236" t="s">
        <v>382</v>
      </c>
      <c r="E37" s="236"/>
      <c r="F37" s="237"/>
      <c r="G37" s="240">
        <v>-0.15</v>
      </c>
      <c r="H37" s="200"/>
      <c r="I37" s="196"/>
    </row>
    <row r="38" spans="2:46" x14ac:dyDescent="0.25">
      <c r="B38" s="195"/>
      <c r="C38" s="200"/>
      <c r="D38" s="236" t="s">
        <v>383</v>
      </c>
      <c r="E38" s="236"/>
      <c r="F38" s="237"/>
      <c r="G38" s="240">
        <f>SUM(G36:G37)</f>
        <v>6.0441688184073888E-2</v>
      </c>
      <c r="H38" s="200"/>
      <c r="I38" s="196"/>
    </row>
    <row r="39" spans="2:46" x14ac:dyDescent="0.25">
      <c r="B39" s="229"/>
      <c r="C39" s="242"/>
      <c r="D39" s="242"/>
      <c r="E39" s="243"/>
      <c r="F39" s="242"/>
      <c r="G39" s="242"/>
      <c r="H39" s="242"/>
      <c r="I39" s="227"/>
    </row>
    <row r="40" spans="2:46" x14ac:dyDescent="0.25">
      <c r="AM40" t="s">
        <v>221</v>
      </c>
      <c r="AO40" s="238">
        <v>107868580</v>
      </c>
      <c r="AP40" s="239">
        <f>AO40/1000</f>
        <v>107868.58</v>
      </c>
      <c r="AT40" s="200"/>
    </row>
    <row r="41" spans="2:46" x14ac:dyDescent="0.25">
      <c r="C41" s="217"/>
      <c r="D41" s="28"/>
      <c r="E41" s="29"/>
      <c r="F41" s="30"/>
      <c r="G41" s="244"/>
      <c r="H41" s="30"/>
      <c r="AM41" t="s">
        <v>222</v>
      </c>
      <c r="AO41" s="238">
        <v>71710200</v>
      </c>
      <c r="AP41" s="239">
        <f t="shared" ref="AP41" si="20">AO41/1000</f>
        <v>71710.2</v>
      </c>
    </row>
    <row r="42" spans="2:46" ht="16.5" thickBot="1" x14ac:dyDescent="0.3">
      <c r="F42" s="245"/>
      <c r="AM42" t="s">
        <v>223</v>
      </c>
      <c r="AO42" s="241">
        <f>SUM(AO40:AO41)</f>
        <v>179578780</v>
      </c>
      <c r="AP42" s="239">
        <f>SUM(AP40:AP41)</f>
        <v>179578.78</v>
      </c>
    </row>
    <row r="43" spans="2:46" ht="16.5" thickTop="1" x14ac:dyDescent="0.25"/>
    <row r="45" spans="2:46" x14ac:dyDescent="0.25">
      <c r="AM45" t="s">
        <v>308</v>
      </c>
      <c r="AN45"/>
      <c r="AO45" s="238">
        <v>48609.120000000003</v>
      </c>
      <c r="AP45" s="246">
        <v>48609120</v>
      </c>
    </row>
    <row r="46" spans="2:46" x14ac:dyDescent="0.25">
      <c r="AM46" t="s">
        <v>309</v>
      </c>
      <c r="AN46"/>
      <c r="AO46" s="246">
        <v>15447478</v>
      </c>
      <c r="AP46" s="246">
        <v>15447478000</v>
      </c>
    </row>
    <row r="47" spans="2:46" x14ac:dyDescent="0.25">
      <c r="AM47" s="247" t="s">
        <v>38</v>
      </c>
      <c r="AN47" s="246"/>
      <c r="AO47" s="246">
        <v>15496087.119999999</v>
      </c>
      <c r="AP47" s="246">
        <v>15496087120</v>
      </c>
    </row>
    <row r="49" spans="39:43" x14ac:dyDescent="0.25">
      <c r="AO49" s="246">
        <v>333745498</v>
      </c>
    </row>
    <row r="51" spans="39:43" x14ac:dyDescent="0.25">
      <c r="AM51" t="s">
        <v>308</v>
      </c>
      <c r="AN51"/>
      <c r="AO51" s="238">
        <v>69359620</v>
      </c>
    </row>
    <row r="52" spans="39:43" x14ac:dyDescent="0.25">
      <c r="AM52" t="s">
        <v>309</v>
      </c>
      <c r="AN52"/>
      <c r="AO52"/>
    </row>
    <row r="53" spans="39:43" x14ac:dyDescent="0.25">
      <c r="AM53" t="s">
        <v>310</v>
      </c>
      <c r="AN53"/>
      <c r="AO53" s="238">
        <v>248938400</v>
      </c>
    </row>
    <row r="54" spans="39:43" x14ac:dyDescent="0.25">
      <c r="AM54" t="s">
        <v>311</v>
      </c>
      <c r="AN54"/>
      <c r="AO54" s="238">
        <v>15447478</v>
      </c>
    </row>
    <row r="55" spans="39:43" x14ac:dyDescent="0.25">
      <c r="AM55" s="248" t="s">
        <v>10</v>
      </c>
      <c r="AN55"/>
      <c r="AO55" s="249">
        <f>SUM(AO53:AO54)</f>
        <v>264385878</v>
      </c>
    </row>
    <row r="59" spans="39:43" x14ac:dyDescent="0.25">
      <c r="AO59" s="212"/>
      <c r="AP59" s="212" t="s">
        <v>341</v>
      </c>
      <c r="AQ59" s="212"/>
    </row>
    <row r="60" spans="39:43" x14ac:dyDescent="0.25">
      <c r="AO60" s="250" t="s">
        <v>310</v>
      </c>
      <c r="AP60" s="216" t="s">
        <v>9</v>
      </c>
      <c r="AQ60" s="216" t="s">
        <v>341</v>
      </c>
    </row>
    <row r="61" spans="39:43" x14ac:dyDescent="0.25">
      <c r="AM61" s="194" t="s">
        <v>57</v>
      </c>
      <c r="AO61" s="251">
        <v>326664.59999999998</v>
      </c>
      <c r="AP61" s="251"/>
      <c r="AQ61" s="251">
        <f>SUM(AO61:AP61)</f>
        <v>326664.59999999998</v>
      </c>
    </row>
    <row r="62" spans="39:43" x14ac:dyDescent="0.25">
      <c r="AM62" s="194" t="s">
        <v>336</v>
      </c>
      <c r="AO62" s="251">
        <v>-69359.600000000006</v>
      </c>
      <c r="AP62" s="251"/>
      <c r="AQ62" s="251">
        <f t="shared" ref="AQ62:AQ65" si="21">SUM(AO62:AP62)</f>
        <v>-69359.600000000006</v>
      </c>
    </row>
    <row r="63" spans="39:43" x14ac:dyDescent="0.25">
      <c r="AM63" s="194" t="s">
        <v>337</v>
      </c>
      <c r="AO63" s="251">
        <v>-248938.4</v>
      </c>
      <c r="AP63" s="251">
        <f>-AO54/1000</f>
        <v>-15447.477999999999</v>
      </c>
      <c r="AQ63" s="251">
        <f t="shared" si="21"/>
        <v>-264385.87799999997</v>
      </c>
    </row>
    <row r="64" spans="39:43" x14ac:dyDescent="0.25">
      <c r="AM64" s="194" t="s">
        <v>338</v>
      </c>
      <c r="AO64" s="251">
        <v>-7809.8</v>
      </c>
      <c r="AP64" s="251"/>
      <c r="AQ64" s="251">
        <f t="shared" si="21"/>
        <v>-7809.8</v>
      </c>
    </row>
    <row r="65" spans="39:43" x14ac:dyDescent="0.25">
      <c r="AM65" s="194" t="s">
        <v>339</v>
      </c>
      <c r="AO65" s="252">
        <v>-1172.5</v>
      </c>
      <c r="AP65" s="252"/>
      <c r="AQ65" s="252">
        <f t="shared" si="21"/>
        <v>-1172.5</v>
      </c>
    </row>
    <row r="66" spans="39:43" ht="16.5" thickBot="1" x14ac:dyDescent="0.3">
      <c r="AM66" s="194" t="s">
        <v>340</v>
      </c>
      <c r="AO66" s="253">
        <f>SUM(AO61:AO65)</f>
        <v>-615.70000000002346</v>
      </c>
      <c r="AP66" s="253">
        <f t="shared" ref="AP66:AQ66" si="22">SUM(AP61:AP65)</f>
        <v>-15447.477999999999</v>
      </c>
      <c r="AQ66" s="253">
        <f t="shared" si="22"/>
        <v>-16063.177999999996</v>
      </c>
    </row>
    <row r="67" spans="39:43" ht="16.5" thickTop="1" x14ac:dyDescent="0.25">
      <c r="AO67" s="251"/>
      <c r="AP67" s="251"/>
      <c r="AQ67" s="251"/>
    </row>
    <row r="68" spans="39:43" x14ac:dyDescent="0.25">
      <c r="AO68" s="251"/>
      <c r="AP68" s="251"/>
      <c r="AQ68" s="251"/>
    </row>
    <row r="69" spans="39:43" x14ac:dyDescent="0.25">
      <c r="AM69" s="194" t="s">
        <v>342</v>
      </c>
      <c r="AP69" s="251"/>
      <c r="AQ69" s="251"/>
    </row>
  </sheetData>
  <mergeCells count="6">
    <mergeCell ref="AN21:AU21"/>
    <mergeCell ref="C3:H3"/>
    <mergeCell ref="M8:Q8"/>
    <mergeCell ref="T8:X8"/>
    <mergeCell ref="AA8:AE8"/>
    <mergeCell ref="AN8:AU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F255-D16C-48DB-AEC2-E418CA3C94D9}">
  <dimension ref="A1:K48"/>
  <sheetViews>
    <sheetView showGridLines="0" topLeftCell="A33" workbookViewId="0">
      <selection sqref="A1:XFD1048576"/>
    </sheetView>
  </sheetViews>
  <sheetFormatPr defaultColWidth="8.88671875" defaultRowHeight="15.75" x14ac:dyDescent="0.25"/>
  <cols>
    <col min="1" max="1" width="3.77734375" style="296" customWidth="1"/>
    <col min="2" max="2" width="2.77734375" style="296" customWidth="1"/>
    <col min="3" max="3" width="32.5546875" style="296" customWidth="1"/>
    <col min="4" max="4" width="1.21875" style="296" customWidth="1"/>
    <col min="5" max="5" width="9.6640625" style="296" customWidth="1"/>
    <col min="6" max="6" width="2.5546875" style="296" customWidth="1"/>
    <col min="7" max="7" width="9.6640625" style="296" customWidth="1"/>
    <col min="8" max="8" width="3.6640625" style="296" customWidth="1"/>
    <col min="9" max="9" width="10.88671875" style="296" customWidth="1"/>
    <col min="10" max="10" width="2.77734375" style="296" customWidth="1"/>
    <col min="11" max="11" width="2.5546875" style="296" customWidth="1"/>
    <col min="12" max="12" width="52.5546875" style="296" customWidth="1"/>
    <col min="13" max="16384" width="8.88671875" style="296"/>
  </cols>
  <sheetData>
    <row r="1" spans="1:11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</row>
    <row r="2" spans="1:11" ht="21" x14ac:dyDescent="0.35">
      <c r="A2" s="200"/>
      <c r="B2" s="297"/>
      <c r="C2" s="348"/>
      <c r="D2" s="348"/>
      <c r="E2" s="348"/>
      <c r="F2" s="348"/>
      <c r="G2" s="348"/>
      <c r="H2" s="348"/>
      <c r="I2" s="348"/>
      <c r="J2" s="298"/>
      <c r="K2" s="299"/>
    </row>
    <row r="3" spans="1:11" ht="18.75" x14ac:dyDescent="0.3">
      <c r="A3" s="200"/>
      <c r="B3" s="300"/>
      <c r="C3" s="345" t="s">
        <v>358</v>
      </c>
      <c r="D3" s="345"/>
      <c r="E3" s="345"/>
      <c r="F3" s="345"/>
      <c r="G3" s="345"/>
      <c r="H3" s="345"/>
      <c r="I3" s="345"/>
      <c r="J3" s="301"/>
      <c r="K3" s="200"/>
    </row>
    <row r="4" spans="1:11" ht="18.75" x14ac:dyDescent="0.3">
      <c r="A4" s="200"/>
      <c r="B4" s="300"/>
      <c r="C4" s="197" t="s">
        <v>41</v>
      </c>
      <c r="D4" s="202"/>
      <c r="E4" s="202"/>
      <c r="F4" s="202"/>
      <c r="G4" s="202"/>
      <c r="H4" s="202"/>
      <c r="I4" s="202"/>
      <c r="J4" s="301"/>
      <c r="K4" s="200"/>
    </row>
    <row r="5" spans="1:11" x14ac:dyDescent="0.25">
      <c r="A5" s="200"/>
      <c r="B5" s="300"/>
      <c r="C5" s="199" t="s">
        <v>225</v>
      </c>
      <c r="D5" s="201"/>
      <c r="E5" s="201"/>
      <c r="F5" s="201"/>
      <c r="G5" s="201"/>
      <c r="H5" s="201"/>
      <c r="I5" s="201"/>
      <c r="J5" s="301"/>
      <c r="K5" s="200"/>
    </row>
    <row r="6" spans="1:11" x14ac:dyDescent="0.25">
      <c r="A6" s="200"/>
      <c r="B6" s="300"/>
      <c r="C6" s="200"/>
      <c r="D6" s="200"/>
      <c r="E6" s="200"/>
      <c r="F6" s="200"/>
      <c r="G6" s="200"/>
      <c r="H6" s="200"/>
      <c r="I6" s="200"/>
      <c r="J6" s="301"/>
      <c r="K6" s="200"/>
    </row>
    <row r="7" spans="1:11" x14ac:dyDescent="0.25">
      <c r="A7" s="200"/>
      <c r="B7" s="300"/>
      <c r="C7" s="236"/>
      <c r="D7" s="302"/>
      <c r="E7" s="236"/>
      <c r="F7" s="302"/>
      <c r="G7" s="236"/>
      <c r="H7" s="236"/>
      <c r="I7" s="303" t="s">
        <v>42</v>
      </c>
      <c r="J7" s="301"/>
      <c r="K7" s="200"/>
    </row>
    <row r="8" spans="1:11" ht="6.95" customHeight="1" x14ac:dyDescent="0.25">
      <c r="A8" s="200"/>
      <c r="B8" s="300"/>
      <c r="C8" s="236"/>
      <c r="D8" s="302"/>
      <c r="E8" s="236"/>
      <c r="F8" s="302"/>
      <c r="G8" s="236"/>
      <c r="H8" s="236"/>
      <c r="I8" s="303"/>
      <c r="J8" s="301"/>
      <c r="K8" s="200"/>
    </row>
    <row r="9" spans="1:11" x14ac:dyDescent="0.25">
      <c r="A9" s="200"/>
      <c r="B9" s="300"/>
      <c r="C9" s="236" t="s">
        <v>43</v>
      </c>
      <c r="D9" s="302"/>
      <c r="E9" s="236"/>
      <c r="F9" s="302"/>
      <c r="G9" s="236"/>
      <c r="H9" s="236"/>
      <c r="I9" s="304">
        <f>-'System Info. - PCWD'!G37</f>
        <v>0.15</v>
      </c>
      <c r="J9" s="301"/>
      <c r="K9" s="200"/>
    </row>
    <row r="10" spans="1:11" x14ac:dyDescent="0.25">
      <c r="A10" s="200"/>
      <c r="B10" s="300"/>
      <c r="C10" s="236" t="s">
        <v>62</v>
      </c>
      <c r="D10" s="302"/>
      <c r="E10" s="236"/>
      <c r="F10" s="302"/>
      <c r="G10" s="236"/>
      <c r="H10" s="236"/>
      <c r="I10" s="304">
        <f>'System Info. - PCWD'!G34</f>
        <v>2.3907788646734596E-2</v>
      </c>
      <c r="J10" s="301"/>
      <c r="K10" s="200"/>
    </row>
    <row r="11" spans="1:11" x14ac:dyDescent="0.25">
      <c r="A11" s="200"/>
      <c r="B11" s="300"/>
      <c r="C11" s="236" t="s">
        <v>61</v>
      </c>
      <c r="D11" s="302"/>
      <c r="E11" s="236"/>
      <c r="F11" s="302"/>
      <c r="G11" s="236"/>
      <c r="H11" s="236"/>
      <c r="I11" s="304">
        <f>I10+I9</f>
        <v>0.17390778864673459</v>
      </c>
      <c r="J11" s="301"/>
      <c r="K11" s="200"/>
    </row>
    <row r="12" spans="1:11" x14ac:dyDescent="0.25">
      <c r="A12" s="200"/>
      <c r="B12" s="300"/>
      <c r="C12" s="236" t="s">
        <v>44</v>
      </c>
      <c r="D12" s="302"/>
      <c r="E12" s="236"/>
      <c r="F12" s="302"/>
      <c r="G12" s="236"/>
      <c r="H12" s="236"/>
      <c r="I12" s="305">
        <f>'System Info.'!H21</f>
        <v>56.28</v>
      </c>
      <c r="J12" s="301"/>
      <c r="K12" s="200"/>
    </row>
    <row r="13" spans="1:11" x14ac:dyDescent="0.25">
      <c r="A13" s="200"/>
      <c r="B13" s="300"/>
      <c r="C13" s="236" t="s">
        <v>45</v>
      </c>
      <c r="D13" s="302"/>
      <c r="E13" s="236"/>
      <c r="F13" s="302"/>
      <c r="G13" s="236"/>
      <c r="H13" s="236"/>
      <c r="I13" s="305">
        <f>'System Info.'!F21</f>
        <v>121.57064393939395</v>
      </c>
      <c r="J13" s="301"/>
      <c r="K13" s="200"/>
    </row>
    <row r="14" spans="1:11" x14ac:dyDescent="0.25">
      <c r="A14" s="200"/>
      <c r="B14" s="300"/>
      <c r="C14" s="236" t="s">
        <v>46</v>
      </c>
      <c r="D14" s="302"/>
      <c r="E14" s="236"/>
      <c r="F14" s="302"/>
      <c r="G14" s="236"/>
      <c r="H14" s="236"/>
      <c r="I14" s="305">
        <f>'System Info.'!F31</f>
        <v>179578.78</v>
      </c>
      <c r="J14" s="301"/>
      <c r="K14" s="200"/>
    </row>
    <row r="15" spans="1:11" x14ac:dyDescent="0.25">
      <c r="A15" s="200"/>
      <c r="B15" s="300"/>
      <c r="C15" s="236" t="s">
        <v>47</v>
      </c>
      <c r="D15" s="302"/>
      <c r="E15" s="236"/>
      <c r="F15" s="302"/>
      <c r="G15" s="236"/>
      <c r="H15" s="236"/>
      <c r="I15" s="305">
        <f>'System Info.'!F32</f>
        <v>248938.4</v>
      </c>
      <c r="J15" s="301"/>
      <c r="K15" s="200"/>
    </row>
    <row r="16" spans="1:11" x14ac:dyDescent="0.25">
      <c r="A16" s="200"/>
      <c r="B16" s="300"/>
      <c r="C16" s="236"/>
      <c r="D16" s="302"/>
      <c r="E16" s="236"/>
      <c r="F16" s="302"/>
      <c r="G16" s="236"/>
      <c r="H16" s="236"/>
      <c r="I16" s="304"/>
      <c r="J16" s="301"/>
      <c r="K16" s="200"/>
    </row>
    <row r="17" spans="1:11" x14ac:dyDescent="0.25">
      <c r="A17" s="200"/>
      <c r="B17" s="300"/>
      <c r="C17" s="236"/>
      <c r="D17" s="302"/>
      <c r="E17" s="236"/>
      <c r="F17" s="302"/>
      <c r="G17" s="306">
        <v>1</v>
      </c>
      <c r="H17" s="236"/>
      <c r="I17" s="304"/>
      <c r="J17" s="301"/>
      <c r="K17" s="200"/>
    </row>
    <row r="18" spans="1:11" x14ac:dyDescent="0.25">
      <c r="A18" s="200"/>
      <c r="B18" s="300"/>
      <c r="C18" s="307" t="s">
        <v>48</v>
      </c>
      <c r="D18" s="302"/>
      <c r="E18" s="200" t="s">
        <v>84</v>
      </c>
      <c r="F18" s="200"/>
      <c r="G18" s="200"/>
      <c r="H18" s="302" t="s">
        <v>49</v>
      </c>
      <c r="I18" s="308">
        <f>1/(1-I11)</f>
        <v>1.2105186155451666</v>
      </c>
      <c r="J18" s="301"/>
      <c r="K18" s="200"/>
    </row>
    <row r="19" spans="1:11" x14ac:dyDescent="0.25">
      <c r="A19" s="200"/>
      <c r="B19" s="300"/>
      <c r="C19" s="236"/>
      <c r="D19" s="302"/>
      <c r="E19" s="236">
        <v>1</v>
      </c>
      <c r="F19" s="302" t="s">
        <v>50</v>
      </c>
      <c r="G19" s="309">
        <f>I11</f>
        <v>0.17390778864673459</v>
      </c>
      <c r="H19" s="302"/>
      <c r="I19" s="304"/>
      <c r="J19" s="301"/>
      <c r="K19" s="200"/>
    </row>
    <row r="20" spans="1:11" ht="52.15" customHeight="1" x14ac:dyDescent="0.25">
      <c r="A20" s="200"/>
      <c r="B20" s="300"/>
      <c r="C20" s="310" t="s">
        <v>120</v>
      </c>
      <c r="D20" s="302"/>
      <c r="E20" s="236"/>
      <c r="F20" s="302"/>
      <c r="G20" s="311"/>
      <c r="H20" s="302"/>
      <c r="I20" s="304"/>
      <c r="J20" s="301"/>
      <c r="K20" s="200"/>
    </row>
    <row r="21" spans="1:11" x14ac:dyDescent="0.25">
      <c r="A21" s="200"/>
      <c r="B21" s="300"/>
      <c r="C21" s="236"/>
      <c r="D21" s="302"/>
      <c r="E21" s="236"/>
      <c r="F21" s="200"/>
      <c r="G21" s="312">
        <f>I12</f>
        <v>56.28</v>
      </c>
      <c r="H21" s="302"/>
      <c r="I21" s="304"/>
      <c r="J21" s="301"/>
      <c r="K21" s="200"/>
    </row>
    <row r="22" spans="1:11" x14ac:dyDescent="0.25">
      <c r="A22" s="200"/>
      <c r="B22" s="300"/>
      <c r="C22" s="307" t="s">
        <v>51</v>
      </c>
      <c r="D22" s="302"/>
      <c r="E22" s="200"/>
      <c r="F22" s="306" t="s">
        <v>85</v>
      </c>
      <c r="G22" s="306"/>
      <c r="H22" s="302" t="s">
        <v>49</v>
      </c>
      <c r="I22" s="308">
        <f>G21/G23</f>
        <v>0.46294070818656691</v>
      </c>
      <c r="J22" s="301"/>
      <c r="K22" s="200"/>
    </row>
    <row r="23" spans="1:11" x14ac:dyDescent="0.25">
      <c r="A23" s="200"/>
      <c r="B23" s="300"/>
      <c r="C23" s="236"/>
      <c r="D23" s="302"/>
      <c r="E23" s="313"/>
      <c r="F23" s="302"/>
      <c r="G23" s="312">
        <f>I13</f>
        <v>121.57064393939395</v>
      </c>
      <c r="H23" s="302"/>
      <c r="I23" s="304"/>
      <c r="J23" s="301"/>
      <c r="K23" s="200"/>
    </row>
    <row r="24" spans="1:11" ht="71.25" customHeight="1" x14ac:dyDescent="0.25">
      <c r="A24" s="200"/>
      <c r="B24" s="300"/>
      <c r="C24" s="310" t="s">
        <v>100</v>
      </c>
      <c r="D24" s="302"/>
      <c r="E24" s="313"/>
      <c r="F24" s="302"/>
      <c r="G24" s="236"/>
      <c r="H24" s="302"/>
      <c r="I24" s="304"/>
      <c r="J24" s="301"/>
      <c r="K24" s="200"/>
    </row>
    <row r="25" spans="1:11" x14ac:dyDescent="0.25">
      <c r="A25" s="200"/>
      <c r="B25" s="300"/>
      <c r="C25" s="307" t="s">
        <v>94</v>
      </c>
      <c r="D25" s="314"/>
      <c r="E25" s="315">
        <f>I9</f>
        <v>0.15</v>
      </c>
      <c r="F25" s="302" t="s">
        <v>52</v>
      </c>
      <c r="G25" s="316">
        <f>I22</f>
        <v>0.46294070818656691</v>
      </c>
      <c r="H25" s="302" t="s">
        <v>49</v>
      </c>
      <c r="I25" s="308">
        <f>E25*G25</f>
        <v>6.9441106227985036E-2</v>
      </c>
      <c r="J25" s="301"/>
      <c r="K25" s="200"/>
    </row>
    <row r="26" spans="1:11" ht="31.5" customHeight="1" x14ac:dyDescent="0.25">
      <c r="A26" s="200"/>
      <c r="B26" s="300"/>
      <c r="C26" s="317" t="s">
        <v>101</v>
      </c>
      <c r="D26" s="314"/>
      <c r="E26" s="315"/>
      <c r="F26" s="302"/>
      <c r="G26" s="316"/>
      <c r="H26" s="302"/>
      <c r="I26" s="304"/>
      <c r="J26" s="301"/>
      <c r="K26" s="200"/>
    </row>
    <row r="27" spans="1:11" x14ac:dyDescent="0.25">
      <c r="A27" s="200"/>
      <c r="B27" s="300"/>
      <c r="C27" s="236"/>
      <c r="D27" s="314"/>
      <c r="E27" s="315"/>
      <c r="F27" s="302"/>
      <c r="G27" s="316"/>
      <c r="H27" s="302"/>
      <c r="I27" s="304"/>
      <c r="J27" s="301"/>
      <c r="K27" s="200"/>
    </row>
    <row r="28" spans="1:11" x14ac:dyDescent="0.25">
      <c r="A28" s="200"/>
      <c r="B28" s="300"/>
      <c r="C28" s="307" t="s">
        <v>63</v>
      </c>
      <c r="D28" s="314"/>
      <c r="E28" s="315">
        <f>I25</f>
        <v>6.9441106227985036E-2</v>
      </c>
      <c r="F28" s="302" t="s">
        <v>64</v>
      </c>
      <c r="G28" s="316">
        <f>I10</f>
        <v>2.3907788646734596E-2</v>
      </c>
      <c r="H28" s="302" t="s">
        <v>49</v>
      </c>
      <c r="I28" s="308">
        <f>E28+G28</f>
        <v>9.3348894874719632E-2</v>
      </c>
      <c r="J28" s="301"/>
      <c r="K28" s="200"/>
    </row>
    <row r="29" spans="1:11" ht="41.25" customHeight="1" x14ac:dyDescent="0.25">
      <c r="A29" s="200"/>
      <c r="B29" s="300"/>
      <c r="C29" s="310" t="s">
        <v>102</v>
      </c>
      <c r="D29" s="314"/>
      <c r="E29" s="315"/>
      <c r="F29" s="302"/>
      <c r="G29" s="236"/>
      <c r="H29" s="302"/>
      <c r="I29" s="304"/>
      <c r="J29" s="301"/>
      <c r="K29" s="200"/>
    </row>
    <row r="30" spans="1:11" x14ac:dyDescent="0.25">
      <c r="A30" s="200"/>
      <c r="B30" s="300"/>
      <c r="C30" s="236"/>
      <c r="D30" s="302"/>
      <c r="E30" s="236"/>
      <c r="F30" s="302"/>
      <c r="G30" s="306">
        <v>1</v>
      </c>
      <c r="H30" s="302"/>
      <c r="I30" s="308"/>
      <c r="J30" s="301"/>
      <c r="K30" s="200"/>
    </row>
    <row r="31" spans="1:11" x14ac:dyDescent="0.25">
      <c r="A31" s="200"/>
      <c r="B31" s="300"/>
      <c r="C31" s="307" t="s">
        <v>53</v>
      </c>
      <c r="D31" s="302"/>
      <c r="E31" s="200" t="s">
        <v>84</v>
      </c>
      <c r="F31" s="200"/>
      <c r="G31" s="200"/>
      <c r="H31" s="302" t="s">
        <v>49</v>
      </c>
      <c r="I31" s="308">
        <f>1/(1-G32)</f>
        <v>1.1029601070875226</v>
      </c>
      <c r="J31" s="301"/>
      <c r="K31" s="200"/>
    </row>
    <row r="32" spans="1:11" x14ac:dyDescent="0.25">
      <c r="A32" s="200"/>
      <c r="B32" s="300"/>
      <c r="C32" s="236"/>
      <c r="D32" s="302"/>
      <c r="E32" s="236">
        <v>1</v>
      </c>
      <c r="F32" s="302" t="s">
        <v>50</v>
      </c>
      <c r="G32" s="309">
        <f>I28</f>
        <v>9.3348894874719632E-2</v>
      </c>
      <c r="H32" s="302"/>
      <c r="I32" s="304"/>
      <c r="J32" s="301"/>
      <c r="K32" s="200"/>
    </row>
    <row r="33" spans="1:11" ht="67.5" customHeight="1" x14ac:dyDescent="0.25">
      <c r="A33" s="200"/>
      <c r="B33" s="300"/>
      <c r="C33" s="310" t="s">
        <v>122</v>
      </c>
      <c r="D33" s="302"/>
      <c r="E33" s="236"/>
      <c r="F33" s="302"/>
      <c r="G33" s="309"/>
      <c r="H33" s="302"/>
      <c r="I33" s="304"/>
      <c r="J33" s="301"/>
      <c r="K33" s="200"/>
    </row>
    <row r="34" spans="1:11" x14ac:dyDescent="0.25">
      <c r="A34" s="200"/>
      <c r="B34" s="300"/>
      <c r="C34" s="318"/>
      <c r="D34" s="302"/>
      <c r="E34" s="319">
        <f>I31</f>
        <v>1.1029601070875226</v>
      </c>
      <c r="F34" s="302"/>
      <c r="G34" s="320">
        <f>$I$14</f>
        <v>179578.78</v>
      </c>
      <c r="H34" s="302"/>
      <c r="I34" s="304"/>
      <c r="J34" s="301"/>
      <c r="K34" s="200"/>
    </row>
    <row r="35" spans="1:11" x14ac:dyDescent="0.25">
      <c r="A35" s="200"/>
      <c r="B35" s="300"/>
      <c r="C35" s="307" t="s">
        <v>87</v>
      </c>
      <c r="D35" s="302"/>
      <c r="E35" s="302" t="s">
        <v>54</v>
      </c>
      <c r="F35" s="302" t="s">
        <v>52</v>
      </c>
      <c r="G35" s="302" t="s">
        <v>54</v>
      </c>
      <c r="H35" s="302" t="s">
        <v>49</v>
      </c>
      <c r="I35" s="308">
        <f>(I31/I18)*(+G34/G36)</f>
        <v>0.65728157032434054</v>
      </c>
      <c r="J35" s="301"/>
      <c r="K35" s="200"/>
    </row>
    <row r="36" spans="1:11" x14ac:dyDescent="0.25">
      <c r="A36" s="200"/>
      <c r="B36" s="300"/>
      <c r="C36" s="236"/>
      <c r="D36" s="302"/>
      <c r="E36" s="319">
        <f>I18</f>
        <v>1.2105186155451666</v>
      </c>
      <c r="F36" s="302"/>
      <c r="G36" s="320">
        <f>$I$15</f>
        <v>248938.4</v>
      </c>
      <c r="H36" s="302"/>
      <c r="I36" s="308"/>
      <c r="J36" s="301"/>
      <c r="K36" s="200"/>
    </row>
    <row r="37" spans="1:11" ht="60" x14ac:dyDescent="0.25">
      <c r="A37" s="200"/>
      <c r="B37" s="300"/>
      <c r="C37" s="310" t="s">
        <v>103</v>
      </c>
      <c r="D37" s="302"/>
      <c r="E37" s="319"/>
      <c r="F37" s="302"/>
      <c r="G37" s="320"/>
      <c r="H37" s="302"/>
      <c r="I37" s="308"/>
      <c r="J37" s="301"/>
      <c r="K37" s="200"/>
    </row>
    <row r="38" spans="1:11" x14ac:dyDescent="0.25">
      <c r="A38" s="200"/>
      <c r="B38" s="300"/>
      <c r="C38" s="310"/>
      <c r="D38" s="302"/>
      <c r="E38" s="320">
        <f>$I$14</f>
        <v>179578.78</v>
      </c>
      <c r="F38" s="302"/>
      <c r="G38" s="236"/>
      <c r="H38" s="302"/>
      <c r="I38" s="308"/>
      <c r="J38" s="301"/>
      <c r="K38" s="200"/>
    </row>
    <row r="39" spans="1:11" x14ac:dyDescent="0.25">
      <c r="A39" s="200"/>
      <c r="B39" s="300"/>
      <c r="C39" s="307" t="s">
        <v>55</v>
      </c>
      <c r="D39" s="302"/>
      <c r="E39" s="302" t="s">
        <v>54</v>
      </c>
      <c r="F39" s="302" t="s">
        <v>52</v>
      </c>
      <c r="G39" s="309">
        <f>I22</f>
        <v>0.46294070818656691</v>
      </c>
      <c r="H39" s="302" t="s">
        <v>49</v>
      </c>
      <c r="I39" s="308">
        <f>(+E38/E40)*I22</f>
        <v>0.33395541864364719</v>
      </c>
      <c r="J39" s="301"/>
      <c r="K39" s="200"/>
    </row>
    <row r="40" spans="1:11" x14ac:dyDescent="0.25">
      <c r="A40" s="200"/>
      <c r="B40" s="300"/>
      <c r="C40" s="236"/>
      <c r="D40" s="302"/>
      <c r="E40" s="320">
        <f>$I$15</f>
        <v>248938.4</v>
      </c>
      <c r="F40" s="302"/>
      <c r="G40" s="236"/>
      <c r="H40" s="302"/>
      <c r="I40" s="308"/>
      <c r="J40" s="301"/>
      <c r="K40" s="200"/>
    </row>
    <row r="41" spans="1:11" ht="36.75" customHeight="1" x14ac:dyDescent="0.25">
      <c r="A41" s="200"/>
      <c r="B41" s="300"/>
      <c r="C41" s="310" t="s">
        <v>104</v>
      </c>
      <c r="D41" s="302"/>
      <c r="E41" s="236"/>
      <c r="F41" s="302"/>
      <c r="G41" s="236"/>
      <c r="H41" s="302"/>
      <c r="I41" s="308"/>
      <c r="J41" s="301"/>
      <c r="K41" s="200"/>
    </row>
    <row r="42" spans="1:11" x14ac:dyDescent="0.25">
      <c r="A42" s="200"/>
      <c r="B42" s="300"/>
      <c r="C42" s="236"/>
      <c r="D42" s="302"/>
      <c r="E42" s="236"/>
      <c r="F42" s="302"/>
      <c r="G42" s="320">
        <f>$I$14</f>
        <v>179578.78</v>
      </c>
      <c r="H42" s="302"/>
      <c r="I42" s="308"/>
      <c r="J42" s="301"/>
      <c r="K42" s="200"/>
    </row>
    <row r="43" spans="1:11" x14ac:dyDescent="0.25">
      <c r="A43" s="200"/>
      <c r="B43" s="300"/>
      <c r="C43" s="307" t="s">
        <v>56</v>
      </c>
      <c r="D43" s="302"/>
      <c r="E43" s="236"/>
      <c r="F43" s="302"/>
      <c r="G43" s="302" t="s">
        <v>54</v>
      </c>
      <c r="H43" s="302" t="s">
        <v>49</v>
      </c>
      <c r="I43" s="308">
        <f>G42/G44</f>
        <v>0.72137838115774833</v>
      </c>
      <c r="J43" s="301"/>
      <c r="K43" s="200"/>
    </row>
    <row r="44" spans="1:11" x14ac:dyDescent="0.25">
      <c r="A44" s="200"/>
      <c r="B44" s="300"/>
      <c r="C44" s="200"/>
      <c r="D44" s="321"/>
      <c r="E44" s="200"/>
      <c r="F44" s="321"/>
      <c r="G44" s="320">
        <f>$I$15</f>
        <v>248938.4</v>
      </c>
      <c r="H44" s="200"/>
      <c r="I44" s="322"/>
      <c r="J44" s="301"/>
      <c r="K44" s="200"/>
    </row>
    <row r="45" spans="1:11" ht="53.65" customHeight="1" x14ac:dyDescent="0.25">
      <c r="A45" s="200"/>
      <c r="B45" s="323"/>
      <c r="C45" s="324" t="s">
        <v>105</v>
      </c>
      <c r="D45" s="325"/>
      <c r="E45" s="242"/>
      <c r="F45" s="325"/>
      <c r="G45" s="242"/>
      <c r="H45" s="242"/>
      <c r="I45" s="242"/>
      <c r="J45" s="326"/>
      <c r="K45" s="200"/>
    </row>
    <row r="46" spans="1:11" x14ac:dyDescent="0.25">
      <c r="A46" s="200"/>
      <c r="B46" s="200"/>
      <c r="C46" s="327"/>
      <c r="D46" s="321"/>
      <c r="E46" s="200"/>
      <c r="F46" s="321"/>
      <c r="G46" s="200"/>
      <c r="H46" s="200"/>
      <c r="I46" s="200"/>
      <c r="J46" s="200"/>
      <c r="K46" s="200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</sheetData>
  <mergeCells count="2">
    <mergeCell ref="C2:I2"/>
    <mergeCell ref="C3:I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9E63-C26A-4281-AD75-B7830ECE5E0D}">
  <dimension ref="A2:K84"/>
  <sheetViews>
    <sheetView showGridLines="0" topLeftCell="A48" workbookViewId="0">
      <selection sqref="A1:XFD1048576"/>
    </sheetView>
  </sheetViews>
  <sheetFormatPr defaultColWidth="8.88671875" defaultRowHeight="15" x14ac:dyDescent="0.2"/>
  <cols>
    <col min="1" max="1" width="2.6640625" style="258" customWidth="1"/>
    <col min="2" max="2" width="1.77734375" style="258" customWidth="1"/>
    <col min="3" max="3" width="4.6640625" style="258" customWidth="1"/>
    <col min="4" max="4" width="18.5546875" style="258" customWidth="1"/>
    <col min="5" max="5" width="11.6640625" style="258" customWidth="1"/>
    <col min="6" max="6" width="8.21875" style="258" customWidth="1"/>
    <col min="7" max="7" width="8.77734375" style="258" customWidth="1"/>
    <col min="8" max="8" width="12.6640625" style="258" customWidth="1"/>
    <col min="9" max="9" width="11.33203125" style="258" customWidth="1"/>
    <col min="10" max="10" width="1.33203125" style="258" customWidth="1"/>
    <col min="11" max="11" width="2.6640625" style="258" customWidth="1"/>
    <col min="12" max="16384" width="8.88671875" style="258"/>
  </cols>
  <sheetData>
    <row r="2" spans="1:11" x14ac:dyDescent="0.2">
      <c r="A2" s="254"/>
      <c r="B2" s="255"/>
      <c r="C2" s="256"/>
      <c r="D2" s="256"/>
      <c r="E2" s="256"/>
      <c r="F2" s="256"/>
      <c r="G2" s="256"/>
      <c r="H2" s="256"/>
      <c r="I2" s="256"/>
      <c r="J2" s="257"/>
    </row>
    <row r="3" spans="1:11" ht="18.75" x14ac:dyDescent="0.3">
      <c r="A3" s="254"/>
      <c r="B3" s="259"/>
      <c r="C3" s="349" t="s">
        <v>67</v>
      </c>
      <c r="D3" s="349"/>
      <c r="E3" s="349"/>
      <c r="F3" s="349"/>
      <c r="G3" s="349"/>
      <c r="H3" s="349"/>
      <c r="I3" s="349"/>
      <c r="J3" s="350"/>
      <c r="K3" s="260"/>
    </row>
    <row r="4" spans="1:11" ht="18.75" x14ac:dyDescent="0.3">
      <c r="A4" s="254"/>
      <c r="B4" s="259"/>
      <c r="C4" s="261" t="s">
        <v>7</v>
      </c>
      <c r="D4" s="262"/>
      <c r="E4" s="262"/>
      <c r="F4" s="262"/>
      <c r="G4" s="262"/>
      <c r="H4" s="262"/>
      <c r="I4" s="262"/>
      <c r="J4" s="263"/>
      <c r="K4" s="260"/>
    </row>
    <row r="5" spans="1:11" ht="15.75" x14ac:dyDescent="0.25">
      <c r="A5" s="254"/>
      <c r="B5" s="259"/>
      <c r="C5" s="264" t="s">
        <v>225</v>
      </c>
      <c r="D5" s="262"/>
      <c r="E5" s="262"/>
      <c r="F5" s="262"/>
      <c r="G5" s="262"/>
      <c r="H5" s="262"/>
      <c r="I5" s="262"/>
      <c r="J5" s="263"/>
      <c r="K5" s="260"/>
    </row>
    <row r="6" spans="1:11" ht="15.75" x14ac:dyDescent="0.25">
      <c r="A6" s="254"/>
      <c r="B6" s="259"/>
      <c r="C6" s="265"/>
      <c r="D6" s="266"/>
      <c r="E6" s="266"/>
      <c r="F6" s="266"/>
      <c r="G6" s="266"/>
      <c r="H6" s="266"/>
      <c r="I6" s="266"/>
      <c r="J6" s="267"/>
      <c r="K6" s="260"/>
    </row>
    <row r="7" spans="1:11" ht="15.75" x14ac:dyDescent="0.25">
      <c r="A7" s="254"/>
      <c r="B7" s="259"/>
      <c r="C7" s="260"/>
      <c r="D7" s="268"/>
      <c r="E7" s="269"/>
      <c r="F7" s="351" t="s">
        <v>92</v>
      </c>
      <c r="G7" s="351"/>
      <c r="H7" s="270" t="s">
        <v>9</v>
      </c>
      <c r="I7" s="270" t="s">
        <v>12</v>
      </c>
      <c r="J7" s="271"/>
      <c r="K7" s="269"/>
    </row>
    <row r="8" spans="1:11" ht="15.75" x14ac:dyDescent="0.25">
      <c r="A8" s="254"/>
      <c r="B8" s="259"/>
      <c r="C8" s="260"/>
      <c r="D8" s="268"/>
      <c r="E8" s="269" t="s">
        <v>10</v>
      </c>
      <c r="F8" s="269" t="s">
        <v>93</v>
      </c>
      <c r="G8" s="269" t="s">
        <v>11</v>
      </c>
      <c r="H8" s="270" t="s">
        <v>8</v>
      </c>
      <c r="I8" s="270" t="s">
        <v>8</v>
      </c>
      <c r="J8" s="271"/>
      <c r="K8" s="269"/>
    </row>
    <row r="9" spans="1:11" ht="15.75" x14ac:dyDescent="0.25">
      <c r="A9" s="254"/>
      <c r="B9" s="259"/>
      <c r="C9" s="260" t="s">
        <v>13</v>
      </c>
      <c r="D9" s="268"/>
      <c r="E9" s="268"/>
      <c r="F9" s="268"/>
      <c r="G9" s="268"/>
      <c r="H9" s="268"/>
      <c r="I9" s="268"/>
      <c r="J9" s="267"/>
      <c r="K9" s="260"/>
    </row>
    <row r="10" spans="1:11" ht="15.75" x14ac:dyDescent="0.25">
      <c r="A10" s="254"/>
      <c r="B10" s="259"/>
      <c r="C10" s="260"/>
      <c r="D10" s="268" t="s">
        <v>57</v>
      </c>
      <c r="E10" s="24">
        <f>Matrix!G67</f>
        <v>139691</v>
      </c>
      <c r="F10" s="272" t="s">
        <v>88</v>
      </c>
      <c r="G10" s="273">
        <f>'Wholesale Factors'!$I$35</f>
        <v>0.65728157032434054</v>
      </c>
      <c r="H10" s="24">
        <f>E10*G10</f>
        <v>91816.319840177457</v>
      </c>
      <c r="I10" s="24">
        <f>E10-H10</f>
        <v>47874.680159822543</v>
      </c>
      <c r="J10" s="274"/>
    </row>
    <row r="11" spans="1:11" ht="15.75" x14ac:dyDescent="0.25">
      <c r="A11" s="254"/>
      <c r="B11" s="259"/>
      <c r="C11" s="260"/>
      <c r="D11" s="268" t="s">
        <v>14</v>
      </c>
      <c r="E11" s="25">
        <f>Matrix!H67</f>
        <v>54178</v>
      </c>
      <c r="F11" s="272" t="s">
        <v>15</v>
      </c>
      <c r="G11" s="273">
        <f>'Wholesale Factors'!$I$39</f>
        <v>0.33395541864364719</v>
      </c>
      <c r="H11" s="25">
        <f>E11*G11</f>
        <v>18093.036671275517</v>
      </c>
      <c r="I11" s="25">
        <f>E11-H11</f>
        <v>36084.96332872448</v>
      </c>
      <c r="J11" s="274"/>
    </row>
    <row r="12" spans="1:11" ht="15.75" x14ac:dyDescent="0.25">
      <c r="A12" s="254"/>
      <c r="B12" s="259"/>
      <c r="C12" s="260" t="s">
        <v>58</v>
      </c>
      <c r="D12" s="268"/>
      <c r="E12" s="25"/>
      <c r="F12" s="272"/>
      <c r="G12" s="275"/>
      <c r="H12" s="25"/>
      <c r="I12" s="25"/>
      <c r="J12" s="274"/>
    </row>
    <row r="13" spans="1:11" ht="15.75" x14ac:dyDescent="0.25">
      <c r="A13" s="254"/>
      <c r="B13" s="259"/>
      <c r="C13" s="260"/>
      <c r="D13" s="268" t="s">
        <v>57</v>
      </c>
      <c r="E13" s="24">
        <f>Matrix!G21</f>
        <v>77559</v>
      </c>
      <c r="F13" s="272" t="s">
        <v>88</v>
      </c>
      <c r="G13" s="273">
        <f>'Wholesale Factors'!$I$35</f>
        <v>0.65728157032434054</v>
      </c>
      <c r="H13" s="25">
        <f t="shared" ref="H13:H14" si="0">E13*G13</f>
        <v>50978.101312785526</v>
      </c>
      <c r="I13" s="25">
        <f t="shared" ref="I13:I14" si="1">E13-H13</f>
        <v>26580.898687214474</v>
      </c>
      <c r="J13" s="274"/>
    </row>
    <row r="14" spans="1:11" ht="15.75" x14ac:dyDescent="0.25">
      <c r="A14" s="254"/>
      <c r="B14" s="259"/>
      <c r="C14" s="260"/>
      <c r="D14" s="268" t="s">
        <v>14</v>
      </c>
      <c r="E14" s="25">
        <f>Matrix!H21</f>
        <v>30081</v>
      </c>
      <c r="F14" s="272" t="s">
        <v>15</v>
      </c>
      <c r="G14" s="273">
        <f>'Wholesale Factors'!$I$39</f>
        <v>0.33395541864364719</v>
      </c>
      <c r="H14" s="25">
        <f t="shared" si="0"/>
        <v>10045.712948219551</v>
      </c>
      <c r="I14" s="25">
        <f t="shared" si="1"/>
        <v>20035.287051780448</v>
      </c>
      <c r="J14" s="274"/>
    </row>
    <row r="15" spans="1:11" ht="15.75" x14ac:dyDescent="0.25">
      <c r="A15" s="254"/>
      <c r="B15" s="259"/>
      <c r="C15" s="276" t="s">
        <v>307</v>
      </c>
      <c r="D15" s="268"/>
      <c r="E15" s="25"/>
      <c r="F15" s="272"/>
      <c r="G15" s="273"/>
      <c r="H15" s="25"/>
      <c r="I15" s="25"/>
      <c r="J15" s="274"/>
    </row>
    <row r="16" spans="1:11" ht="15.75" x14ac:dyDescent="0.25">
      <c r="A16" s="254"/>
      <c r="B16" s="259"/>
      <c r="C16" s="277"/>
      <c r="D16" s="268" t="s">
        <v>57</v>
      </c>
      <c r="E16" s="24">
        <f>Matrix!G63</f>
        <v>74810</v>
      </c>
      <c r="F16" s="272" t="s">
        <v>88</v>
      </c>
      <c r="G16" s="273">
        <f>'Wholesale Factors'!$I$35</f>
        <v>0.65728157032434054</v>
      </c>
      <c r="H16" s="25">
        <f t="shared" ref="H16:H17" si="2">E16*G16</f>
        <v>49171.234275963914</v>
      </c>
      <c r="I16" s="25">
        <f t="shared" ref="I16:I21" si="3">E16-H16</f>
        <v>25638.765724036086</v>
      </c>
      <c r="J16" s="274"/>
    </row>
    <row r="17" spans="1:10" ht="15.75" x14ac:dyDescent="0.25">
      <c r="A17" s="254"/>
      <c r="B17" s="259"/>
      <c r="C17" s="260"/>
      <c r="D17" s="268" t="s">
        <v>14</v>
      </c>
      <c r="E17" s="25">
        <f>Matrix!H63</f>
        <v>31296</v>
      </c>
      <c r="F17" s="272" t="s">
        <v>15</v>
      </c>
      <c r="G17" s="273">
        <f>'Wholesale Factors'!$I$39</f>
        <v>0.33395541864364719</v>
      </c>
      <c r="H17" s="25">
        <f t="shared" si="2"/>
        <v>10451.468781871583</v>
      </c>
      <c r="I17" s="25">
        <f t="shared" si="3"/>
        <v>20844.531218128417</v>
      </c>
      <c r="J17" s="274"/>
    </row>
    <row r="18" spans="1:10" ht="15.75" x14ac:dyDescent="0.25">
      <c r="A18" s="254"/>
      <c r="B18" s="259"/>
      <c r="C18" s="260" t="s">
        <v>3</v>
      </c>
      <c r="D18" s="268"/>
      <c r="E18" s="25"/>
      <c r="H18" s="25">
        <f>E18*G19</f>
        <v>0</v>
      </c>
      <c r="I18" s="25">
        <f t="shared" si="3"/>
        <v>0</v>
      </c>
      <c r="J18" s="274"/>
    </row>
    <row r="19" spans="1:10" ht="15.75" x14ac:dyDescent="0.25">
      <c r="A19" s="254"/>
      <c r="B19" s="259"/>
      <c r="C19" s="260"/>
      <c r="D19" s="268" t="s">
        <v>57</v>
      </c>
      <c r="E19" s="25">
        <f>Matrix!G24</f>
        <v>62945</v>
      </c>
      <c r="F19" s="272" t="s">
        <v>88</v>
      </c>
      <c r="G19" s="273">
        <f>'Wholesale Factors'!$I$35</f>
        <v>0.65728157032434054</v>
      </c>
      <c r="H19" s="25">
        <f t="shared" ref="H19:H21" si="4">E19*G19</f>
        <v>41372.588444065615</v>
      </c>
      <c r="I19" s="25">
        <f t="shared" si="3"/>
        <v>21572.411555934385</v>
      </c>
      <c r="J19" s="274"/>
    </row>
    <row r="20" spans="1:10" ht="15.75" x14ac:dyDescent="0.25">
      <c r="A20" s="254"/>
      <c r="B20" s="259"/>
      <c r="C20" s="260"/>
      <c r="D20" s="268" t="s">
        <v>14</v>
      </c>
      <c r="E20" s="25">
        <f>Matrix!H24</f>
        <v>3262</v>
      </c>
      <c r="F20" s="272" t="s">
        <v>15</v>
      </c>
      <c r="G20" s="273">
        <f>'Wholesale Factors'!$I$39</f>
        <v>0.33395541864364719</v>
      </c>
      <c r="H20" s="25">
        <f t="shared" si="4"/>
        <v>1089.362575615577</v>
      </c>
      <c r="I20" s="25">
        <f t="shared" si="3"/>
        <v>2172.637424384423</v>
      </c>
      <c r="J20" s="274"/>
    </row>
    <row r="21" spans="1:10" ht="15.75" x14ac:dyDescent="0.25">
      <c r="A21" s="254"/>
      <c r="B21" s="259"/>
      <c r="C21" s="260" t="s">
        <v>111</v>
      </c>
      <c r="D21" s="268"/>
      <c r="E21" s="25">
        <f>Matrix!G61</f>
        <v>0</v>
      </c>
      <c r="F21" s="272" t="s">
        <v>88</v>
      </c>
      <c r="G21" s="273">
        <f>'Wholesale Factors'!$I$35</f>
        <v>0.65728157032434054</v>
      </c>
      <c r="H21" s="25">
        <f t="shared" si="4"/>
        <v>0</v>
      </c>
      <c r="I21" s="25">
        <f t="shared" si="3"/>
        <v>0</v>
      </c>
      <c r="J21" s="274"/>
    </row>
    <row r="22" spans="1:10" ht="15.75" x14ac:dyDescent="0.25">
      <c r="A22" s="254"/>
      <c r="B22" s="259"/>
      <c r="C22" s="260" t="s">
        <v>77</v>
      </c>
      <c r="D22" s="268"/>
      <c r="E22" s="25">
        <f>Matrix!G10</f>
        <v>169847</v>
      </c>
      <c r="F22" s="272" t="s">
        <v>88</v>
      </c>
      <c r="G22" s="273">
        <f>'Wholesale Factors'!$I$35</f>
        <v>0.65728157032434054</v>
      </c>
      <c r="H22" s="25">
        <f>E22*G22</f>
        <v>111637.30287487827</v>
      </c>
      <c r="I22" s="25">
        <f>E22-H22</f>
        <v>58209.697125121733</v>
      </c>
      <c r="J22" s="274"/>
    </row>
    <row r="23" spans="1:10" ht="15.75" x14ac:dyDescent="0.25">
      <c r="A23" s="254"/>
      <c r="B23" s="259"/>
      <c r="C23" s="260" t="s">
        <v>68</v>
      </c>
      <c r="D23" s="268"/>
      <c r="E23" s="25"/>
      <c r="F23" s="272"/>
      <c r="G23" s="273"/>
      <c r="H23" s="25"/>
      <c r="I23" s="25"/>
      <c r="J23" s="274"/>
    </row>
    <row r="24" spans="1:10" ht="15.75" x14ac:dyDescent="0.25">
      <c r="A24" s="254"/>
      <c r="B24" s="259"/>
      <c r="C24" s="260"/>
      <c r="D24" s="268" t="s">
        <v>57</v>
      </c>
      <c r="E24" s="24">
        <f>Matrix!G51</f>
        <v>31145</v>
      </c>
      <c r="F24" s="272" t="s">
        <v>88</v>
      </c>
      <c r="G24" s="273">
        <f>'Wholesale Factors'!$I$35</f>
        <v>0.65728157032434054</v>
      </c>
      <c r="H24" s="25">
        <f>E24*G24</f>
        <v>20471.034507751585</v>
      </c>
      <c r="I24" s="25">
        <f>E24-H24</f>
        <v>10673.965492248415</v>
      </c>
      <c r="J24" s="274"/>
    </row>
    <row r="25" spans="1:10" ht="15.75" x14ac:dyDescent="0.25">
      <c r="A25" s="254"/>
      <c r="B25" s="259"/>
      <c r="C25" s="260"/>
      <c r="D25" s="268" t="s">
        <v>14</v>
      </c>
      <c r="E25" s="25">
        <f>Matrix!H51</f>
        <v>31145</v>
      </c>
      <c r="F25" s="272" t="s">
        <v>15</v>
      </c>
      <c r="G25" s="273">
        <f>'Wholesale Factors'!$I$39</f>
        <v>0.33395541864364719</v>
      </c>
      <c r="H25" s="25">
        <f>E25*G25</f>
        <v>10401.041513656392</v>
      </c>
      <c r="I25" s="25">
        <f>E25-H25</f>
        <v>20743.95848634361</v>
      </c>
      <c r="J25" s="274"/>
    </row>
    <row r="26" spans="1:10" ht="15.75" x14ac:dyDescent="0.25">
      <c r="A26" s="254"/>
      <c r="B26" s="259"/>
      <c r="C26" s="260" t="s">
        <v>69</v>
      </c>
      <c r="D26" s="268"/>
      <c r="E26" s="25"/>
      <c r="F26" s="272"/>
      <c r="G26" s="273"/>
      <c r="H26" s="25"/>
      <c r="I26" s="25"/>
      <c r="J26" s="274"/>
    </row>
    <row r="27" spans="1:10" ht="15.75" x14ac:dyDescent="0.25">
      <c r="A27" s="254"/>
      <c r="B27" s="259"/>
      <c r="C27" s="260"/>
      <c r="D27" s="268" t="s">
        <v>57</v>
      </c>
      <c r="E27" s="25">
        <f>Matrix!G54</f>
        <v>9183</v>
      </c>
      <c r="F27" s="272" t="s">
        <v>88</v>
      </c>
      <c r="G27" s="273">
        <f>'Wholesale Factors'!$I$35</f>
        <v>0.65728157032434054</v>
      </c>
      <c r="H27" s="25">
        <f>E27*G27</f>
        <v>6035.8166602884194</v>
      </c>
      <c r="I27" s="25">
        <f>E27-H27</f>
        <v>3147.1833397115806</v>
      </c>
      <c r="J27" s="274"/>
    </row>
    <row r="28" spans="1:10" ht="15.75" x14ac:dyDescent="0.25">
      <c r="A28" s="254"/>
      <c r="B28" s="259"/>
      <c r="C28" s="260"/>
      <c r="D28" s="268" t="s">
        <v>14</v>
      </c>
      <c r="E28" s="25">
        <v>0</v>
      </c>
      <c r="F28" s="272" t="s">
        <v>15</v>
      </c>
      <c r="G28" s="273">
        <f>'Wholesale Factors'!$I$39</f>
        <v>0.33395541864364719</v>
      </c>
      <c r="H28" s="25">
        <f t="shared" ref="H28" si="5">E28*G28</f>
        <v>0</v>
      </c>
      <c r="I28" s="25">
        <f t="shared" ref="I28" si="6">E28-H28</f>
        <v>0</v>
      </c>
      <c r="J28" s="274"/>
    </row>
    <row r="29" spans="1:10" ht="15.75" x14ac:dyDescent="0.25">
      <c r="A29" s="254"/>
      <c r="B29" s="259"/>
      <c r="C29" s="260" t="s">
        <v>78</v>
      </c>
      <c r="D29" s="268"/>
      <c r="E29" s="25"/>
      <c r="F29" s="272"/>
      <c r="G29" s="275"/>
      <c r="H29" s="25"/>
      <c r="I29" s="25"/>
      <c r="J29" s="274"/>
    </row>
    <row r="30" spans="1:10" ht="15.75" x14ac:dyDescent="0.25">
      <c r="A30" s="254"/>
      <c r="B30" s="259"/>
      <c r="C30" s="260"/>
      <c r="D30" s="268" t="s">
        <v>57</v>
      </c>
      <c r="E30" s="24">
        <f>Matrix!G45</f>
        <v>12225</v>
      </c>
      <c r="F30" s="272" t="s">
        <v>88</v>
      </c>
      <c r="G30" s="273">
        <f>'Wholesale Factors'!$I$35</f>
        <v>0.65728157032434054</v>
      </c>
      <c r="H30" s="25">
        <f t="shared" ref="H30:H31" si="7">E30*G30</f>
        <v>8035.2671972150629</v>
      </c>
      <c r="I30" s="25">
        <f t="shared" ref="I30:I31" si="8">E30-H30</f>
        <v>4189.7328027849371</v>
      </c>
      <c r="J30" s="274"/>
    </row>
    <row r="31" spans="1:10" ht="15.75" x14ac:dyDescent="0.25">
      <c r="A31" s="254"/>
      <c r="B31" s="259"/>
      <c r="C31" s="260"/>
      <c r="D31" s="268" t="s">
        <v>14</v>
      </c>
      <c r="E31" s="25">
        <f>Matrix!H45</f>
        <v>5426</v>
      </c>
      <c r="F31" s="272" t="s">
        <v>15</v>
      </c>
      <c r="G31" s="273">
        <f>'Wholesale Factors'!$I$39</f>
        <v>0.33395541864364719</v>
      </c>
      <c r="H31" s="25">
        <f t="shared" si="7"/>
        <v>1812.0421015604297</v>
      </c>
      <c r="I31" s="25">
        <f t="shared" si="8"/>
        <v>3613.9578984395703</v>
      </c>
      <c r="J31" s="274"/>
    </row>
    <row r="32" spans="1:10" ht="15.75" x14ac:dyDescent="0.25">
      <c r="A32" s="254"/>
      <c r="B32" s="259"/>
      <c r="C32" s="260" t="s">
        <v>110</v>
      </c>
      <c r="D32" s="268"/>
      <c r="E32" s="25"/>
      <c r="G32" s="273"/>
      <c r="H32" s="25"/>
      <c r="I32" s="25"/>
      <c r="J32" s="274"/>
    </row>
    <row r="33" spans="1:11" ht="15.75" x14ac:dyDescent="0.25">
      <c r="A33" s="254"/>
      <c r="B33" s="259"/>
      <c r="C33" s="260"/>
      <c r="D33" s="268" t="s">
        <v>57</v>
      </c>
      <c r="E33" s="25">
        <f>Matrix!G73</f>
        <v>12128</v>
      </c>
      <c r="F33" s="272" t="s">
        <v>88</v>
      </c>
      <c r="G33" s="273">
        <f>'Wholesale Factors'!$I$35</f>
        <v>0.65728157032434054</v>
      </c>
      <c r="H33" s="25">
        <f>E33*G33</f>
        <v>7971.5108848936025</v>
      </c>
      <c r="I33" s="25">
        <f>E33-H33</f>
        <v>4156.4891151063975</v>
      </c>
      <c r="J33" s="274"/>
    </row>
    <row r="34" spans="1:11" ht="15.75" x14ac:dyDescent="0.25">
      <c r="A34" s="254"/>
      <c r="B34" s="259"/>
      <c r="C34" s="260"/>
      <c r="D34" s="268" t="s">
        <v>14</v>
      </c>
      <c r="E34" s="278">
        <f>Matrix!H73</f>
        <v>4891</v>
      </c>
      <c r="F34" s="272" t="s">
        <v>15</v>
      </c>
      <c r="G34" s="273">
        <f>'Wholesale Factors'!$I$39</f>
        <v>0.33395541864364719</v>
      </c>
      <c r="H34" s="278">
        <f t="shared" ref="H34" si="9">E34*G34</f>
        <v>1633.3759525860785</v>
      </c>
      <c r="I34" s="278">
        <f t="shared" ref="I34" si="10">E34-H34</f>
        <v>3257.6240474139213</v>
      </c>
      <c r="J34" s="274"/>
    </row>
    <row r="35" spans="1:11" ht="6.95" customHeight="1" x14ac:dyDescent="0.25">
      <c r="A35" s="254"/>
      <c r="B35" s="259"/>
      <c r="C35" s="260"/>
      <c r="D35" s="268"/>
      <c r="E35" s="25"/>
      <c r="F35" s="272"/>
      <c r="G35" s="275"/>
      <c r="H35" s="25"/>
      <c r="I35" s="25"/>
      <c r="J35" s="274"/>
    </row>
    <row r="36" spans="1:11" ht="15.75" x14ac:dyDescent="0.25">
      <c r="A36" s="254"/>
      <c r="B36" s="259"/>
      <c r="C36" s="279" t="s">
        <v>376</v>
      </c>
      <c r="D36" s="268"/>
      <c r="E36" s="25">
        <f>SUM(E10:E35)</f>
        <v>749812</v>
      </c>
      <c r="F36" s="272"/>
      <c r="G36" s="275"/>
      <c r="H36" s="25">
        <f>SUM(H10:H35)</f>
        <v>441015.21654280461</v>
      </c>
      <c r="I36" s="25">
        <f>SUM(I10:I35)</f>
        <v>308796.78345719544</v>
      </c>
      <c r="J36" s="274"/>
    </row>
    <row r="37" spans="1:11" ht="6.95" customHeight="1" x14ac:dyDescent="0.25">
      <c r="A37" s="254"/>
      <c r="B37" s="259"/>
      <c r="C37" s="260"/>
      <c r="D37" s="268"/>
      <c r="E37" s="25"/>
      <c r="F37" s="272"/>
      <c r="G37" s="275"/>
      <c r="H37" s="25"/>
      <c r="I37" s="25"/>
      <c r="J37" s="274"/>
    </row>
    <row r="38" spans="1:11" ht="15.75" x14ac:dyDescent="0.25">
      <c r="A38" s="254"/>
      <c r="B38" s="259"/>
      <c r="C38" s="260" t="s">
        <v>2</v>
      </c>
      <c r="D38" s="268"/>
      <c r="E38" s="25"/>
      <c r="F38" s="272"/>
      <c r="G38" s="275"/>
      <c r="H38" s="25"/>
      <c r="I38" s="25"/>
      <c r="J38" s="274"/>
    </row>
    <row r="39" spans="1:11" ht="15.75" x14ac:dyDescent="0.25">
      <c r="A39" s="254"/>
      <c r="B39" s="259"/>
      <c r="C39" s="260"/>
      <c r="D39" s="268" t="s">
        <v>57</v>
      </c>
      <c r="E39" s="25">
        <f>Matrix!G12</f>
        <v>83951</v>
      </c>
      <c r="F39" s="272" t="s">
        <v>88</v>
      </c>
      <c r="G39" s="273">
        <f>'Wholesale Factors'!$I$35</f>
        <v>0.65728157032434054</v>
      </c>
      <c r="H39" s="25">
        <f>E39*G39</f>
        <v>55179.445110298715</v>
      </c>
      <c r="I39" s="25">
        <f>E39-H39</f>
        <v>28771.554889701285</v>
      </c>
      <c r="J39" s="274"/>
    </row>
    <row r="40" spans="1:11" ht="15.75" x14ac:dyDescent="0.25">
      <c r="A40" s="254"/>
      <c r="B40" s="259"/>
      <c r="C40" s="260"/>
      <c r="D40" s="260" t="s">
        <v>18</v>
      </c>
      <c r="E40" s="25">
        <f>Matrix!H12</f>
        <v>44926</v>
      </c>
      <c r="F40" s="272" t="s">
        <v>15</v>
      </c>
      <c r="G40" s="273">
        <f>'Wholesale Factors'!$I$39</f>
        <v>0.33395541864364719</v>
      </c>
      <c r="H40" s="25">
        <f>E40*G40</f>
        <v>15003.281137984493</v>
      </c>
      <c r="I40" s="25">
        <f>E40-H40</f>
        <v>29922.718862015507</v>
      </c>
      <c r="J40" s="274"/>
    </row>
    <row r="41" spans="1:11" ht="15.75" x14ac:dyDescent="0.25">
      <c r="A41" s="254"/>
      <c r="B41" s="259"/>
      <c r="C41" s="260"/>
      <c r="D41" s="260" t="s">
        <v>86</v>
      </c>
      <c r="E41" s="25">
        <f>Matrix!I75</f>
        <v>24241</v>
      </c>
      <c r="F41" s="272" t="s">
        <v>17</v>
      </c>
      <c r="G41" s="273">
        <f>'Wholesale Factors - PCWD'!$I$43</f>
        <v>0.72137838115774833</v>
      </c>
      <c r="H41" s="25">
        <f>E41*G41</f>
        <v>17486.933337644976</v>
      </c>
      <c r="I41" s="25">
        <f>E41-H41</f>
        <v>6754.0666623550242</v>
      </c>
      <c r="J41" s="274"/>
    </row>
    <row r="42" spans="1:11" ht="15.75" x14ac:dyDescent="0.25">
      <c r="A42" s="254"/>
      <c r="B42" s="259"/>
      <c r="C42" s="260"/>
      <c r="D42" s="268" t="s">
        <v>16</v>
      </c>
      <c r="E42" s="25">
        <f>+Matrix!K12</f>
        <v>0</v>
      </c>
      <c r="F42" s="272" t="s">
        <v>15</v>
      </c>
      <c r="G42" s="273">
        <f>'Wholesale Factors'!$I$39</f>
        <v>0.33395541864364719</v>
      </c>
      <c r="H42" s="25">
        <f>E42*G42</f>
        <v>0</v>
      </c>
      <c r="I42" s="25">
        <f>E42-H42</f>
        <v>0</v>
      </c>
      <c r="J42" s="274"/>
    </row>
    <row r="43" spans="1:11" ht="15.75" x14ac:dyDescent="0.25">
      <c r="A43" s="254"/>
      <c r="B43" s="259"/>
      <c r="C43" s="260"/>
      <c r="D43" s="268" t="s">
        <v>19</v>
      </c>
      <c r="E43" s="278">
        <f>Matrix!J12</f>
        <v>3180</v>
      </c>
      <c r="F43" s="272"/>
      <c r="G43" s="273">
        <v>0</v>
      </c>
      <c r="H43" s="278">
        <f t="shared" ref="H43" si="11">E43*G43</f>
        <v>0</v>
      </c>
      <c r="I43" s="278">
        <f>E43</f>
        <v>3180</v>
      </c>
      <c r="J43" s="274"/>
    </row>
    <row r="44" spans="1:11" ht="15.75" x14ac:dyDescent="0.25">
      <c r="A44" s="254"/>
      <c r="B44" s="259"/>
      <c r="C44" s="260" t="s">
        <v>1</v>
      </c>
      <c r="D44" s="268"/>
      <c r="E44" s="25">
        <f>SUM(E36:E43)</f>
        <v>906110</v>
      </c>
      <c r="F44" s="272"/>
      <c r="G44" s="273"/>
      <c r="H44" s="25">
        <f>SUM(H36:H43)</f>
        <v>528684.87612873281</v>
      </c>
      <c r="I44" s="25">
        <f>SUM(I39:I43)</f>
        <v>68628.340414071819</v>
      </c>
      <c r="J44" s="274"/>
    </row>
    <row r="45" spans="1:11" ht="15.75" x14ac:dyDescent="0.25">
      <c r="A45" s="254"/>
      <c r="B45" s="259"/>
      <c r="C45" s="260"/>
      <c r="D45" s="268"/>
      <c r="E45" s="25"/>
      <c r="F45" s="272"/>
      <c r="G45" s="273"/>
      <c r="H45" s="25"/>
      <c r="I45" s="25"/>
      <c r="J45" s="274"/>
    </row>
    <row r="46" spans="1:11" ht="14.1" customHeight="1" x14ac:dyDescent="0.25">
      <c r="A46" s="254"/>
      <c r="B46" s="259"/>
      <c r="C46" s="280" t="s">
        <v>371</v>
      </c>
      <c r="D46" s="281"/>
      <c r="E46" s="25"/>
      <c r="F46" s="25"/>
      <c r="G46" s="275"/>
      <c r="H46" s="25"/>
      <c r="I46" s="25"/>
      <c r="J46" s="274"/>
      <c r="K46" s="260"/>
    </row>
    <row r="47" spans="1:11" ht="14.1" customHeight="1" x14ac:dyDescent="0.25">
      <c r="A47" s="254"/>
      <c r="B47" s="259"/>
      <c r="C47" s="280"/>
      <c r="D47" s="281" t="s">
        <v>372</v>
      </c>
      <c r="E47" s="25"/>
      <c r="F47" s="25"/>
      <c r="G47" s="275"/>
      <c r="H47" s="25"/>
      <c r="I47" s="25"/>
      <c r="J47" s="274"/>
      <c r="K47" s="260"/>
    </row>
    <row r="48" spans="1:11" ht="14.1" customHeight="1" x14ac:dyDescent="0.25">
      <c r="A48" s="254"/>
      <c r="B48" s="259"/>
      <c r="D48" s="282" t="s">
        <v>375</v>
      </c>
      <c r="E48" s="278">
        <f>ROUND((E36/0.88)-E36,0)</f>
        <v>102247</v>
      </c>
      <c r="F48" s="25"/>
      <c r="G48" s="275"/>
      <c r="H48" s="278">
        <f>ROUND((H36/0.88)-H36,0)</f>
        <v>60138</v>
      </c>
      <c r="I48" s="278">
        <f>ROUND((I36/0.88)-I36,0)</f>
        <v>42109</v>
      </c>
      <c r="J48" s="274"/>
      <c r="K48" s="260"/>
    </row>
    <row r="49" spans="1:11" ht="14.1" customHeight="1" x14ac:dyDescent="0.25">
      <c r="A49" s="254"/>
      <c r="B49" s="259"/>
      <c r="E49" s="25"/>
      <c r="F49" s="25"/>
      <c r="G49" s="275"/>
      <c r="H49" s="25"/>
      <c r="I49" s="25"/>
      <c r="J49" s="274"/>
      <c r="K49" s="260"/>
    </row>
    <row r="50" spans="1:11" ht="15.75" x14ac:dyDescent="0.25">
      <c r="A50" s="254"/>
      <c r="B50" s="259"/>
      <c r="C50" s="283" t="s">
        <v>20</v>
      </c>
      <c r="D50" s="268"/>
      <c r="E50" s="25">
        <f>SUM(E44,E48)</f>
        <v>1008357</v>
      </c>
      <c r="F50" s="25"/>
      <c r="G50" s="275"/>
      <c r="H50" s="25">
        <f>SUM(H44,H48)</f>
        <v>588822.87612873281</v>
      </c>
      <c r="I50" s="25">
        <f>SUM(I44,I48)</f>
        <v>110737.34041407182</v>
      </c>
      <c r="J50" s="274"/>
      <c r="K50" s="260"/>
    </row>
    <row r="51" spans="1:11" ht="6.95" customHeight="1" x14ac:dyDescent="0.25">
      <c r="A51" s="254"/>
      <c r="B51" s="259"/>
      <c r="C51" s="260"/>
      <c r="D51" s="260"/>
      <c r="E51" s="268"/>
      <c r="F51" s="268"/>
      <c r="G51" s="268"/>
      <c r="H51" s="25"/>
      <c r="I51" s="25"/>
      <c r="J51" s="274"/>
      <c r="K51" s="260"/>
    </row>
    <row r="52" spans="1:11" ht="15.75" x14ac:dyDescent="0.25">
      <c r="A52" s="254"/>
      <c r="B52" s="259"/>
      <c r="C52" s="260"/>
      <c r="D52" s="268" t="s">
        <v>21</v>
      </c>
      <c r="E52" s="268"/>
      <c r="F52" s="268"/>
      <c r="G52" s="268"/>
      <c r="H52" s="25">
        <f>'Wholesale Factors'!I14</f>
        <v>179578.78</v>
      </c>
      <c r="I52" s="25"/>
      <c r="J52" s="274"/>
      <c r="K52" s="260"/>
    </row>
    <row r="53" spans="1:11" ht="6.95" customHeight="1" x14ac:dyDescent="0.25">
      <c r="A53" s="254"/>
      <c r="B53" s="259"/>
      <c r="C53" s="260"/>
      <c r="E53" s="268"/>
      <c r="F53" s="268"/>
      <c r="G53" s="268"/>
      <c r="H53" s="268"/>
      <c r="I53" s="268"/>
      <c r="J53" s="267"/>
      <c r="K53" s="260"/>
    </row>
    <row r="54" spans="1:11" ht="18" x14ac:dyDescent="0.4">
      <c r="A54" s="254"/>
      <c r="B54" s="259"/>
      <c r="C54" s="284" t="s">
        <v>117</v>
      </c>
      <c r="D54" s="268"/>
      <c r="E54" s="285"/>
      <c r="F54" s="285"/>
      <c r="G54" s="285"/>
      <c r="H54" s="286">
        <f>ROUND(H50/H52,2)</f>
        <v>3.28</v>
      </c>
      <c r="I54" s="287"/>
      <c r="J54" s="288"/>
      <c r="K54" s="289"/>
    </row>
    <row r="55" spans="1:11" ht="18" x14ac:dyDescent="0.4">
      <c r="A55" s="254"/>
      <c r="B55" s="259"/>
      <c r="C55" s="284"/>
      <c r="D55" s="285"/>
      <c r="E55" s="285"/>
      <c r="F55" s="285"/>
      <c r="G55" s="285"/>
      <c r="H55" s="286"/>
      <c r="I55" s="287"/>
      <c r="J55" s="288"/>
      <c r="K55" s="289"/>
    </row>
    <row r="56" spans="1:11" ht="18" x14ac:dyDescent="0.4">
      <c r="A56" s="254"/>
      <c r="B56" s="259"/>
      <c r="C56" s="284" t="s">
        <v>118</v>
      </c>
      <c r="D56" s="285"/>
      <c r="E56" s="285"/>
      <c r="F56" s="285"/>
      <c r="G56" s="285"/>
      <c r="H56" s="286">
        <v>2.65</v>
      </c>
      <c r="I56" s="287"/>
      <c r="J56" s="288"/>
      <c r="K56" s="289"/>
    </row>
    <row r="57" spans="1:11" ht="15.75" x14ac:dyDescent="0.25">
      <c r="A57" s="254"/>
      <c r="B57" s="259"/>
      <c r="C57" s="284" t="s">
        <v>119</v>
      </c>
      <c r="D57" s="285"/>
      <c r="E57" s="285"/>
      <c r="F57" s="285"/>
      <c r="G57" s="285"/>
      <c r="H57" s="290">
        <f>H54-H56</f>
        <v>0.62999999999999989</v>
      </c>
      <c r="I57" s="287"/>
      <c r="J57" s="288"/>
      <c r="K57" s="289"/>
    </row>
    <row r="58" spans="1:11" ht="15.75" x14ac:dyDescent="0.25">
      <c r="A58" s="254"/>
      <c r="B58" s="259"/>
      <c r="C58" s="284" t="s">
        <v>6</v>
      </c>
      <c r="D58" s="285"/>
      <c r="E58" s="285"/>
      <c r="F58" s="285"/>
      <c r="G58" s="285"/>
      <c r="H58" s="291">
        <f>H57/H56</f>
        <v>0.23773584905660375</v>
      </c>
      <c r="I58" s="287"/>
      <c r="J58" s="288"/>
      <c r="K58" s="289"/>
    </row>
    <row r="59" spans="1:11" ht="15.75" x14ac:dyDescent="0.25">
      <c r="A59" s="254"/>
      <c r="B59" s="292"/>
      <c r="C59" s="265"/>
      <c r="D59" s="293"/>
      <c r="E59" s="266"/>
      <c r="F59" s="266"/>
      <c r="G59" s="266"/>
      <c r="H59" s="265"/>
      <c r="I59" s="266"/>
      <c r="J59" s="294"/>
      <c r="K59" s="260"/>
    </row>
    <row r="60" spans="1:11" ht="15.75" x14ac:dyDescent="0.25">
      <c r="C60" s="260"/>
      <c r="D60" s="268"/>
      <c r="E60" s="268"/>
      <c r="F60" s="268"/>
      <c r="G60" s="268"/>
      <c r="H60" s="260"/>
      <c r="I60" s="268"/>
      <c r="J60" s="268"/>
      <c r="K60" s="260"/>
    </row>
    <row r="61" spans="1:11" ht="15.75" x14ac:dyDescent="0.25">
      <c r="C61" s="260"/>
      <c r="D61" s="268"/>
      <c r="E61" s="268"/>
      <c r="F61" s="268"/>
      <c r="G61" s="268"/>
      <c r="H61" s="260"/>
      <c r="I61" s="268"/>
      <c r="J61" s="268"/>
      <c r="K61" s="260"/>
    </row>
    <row r="62" spans="1:11" ht="15.75" x14ac:dyDescent="0.25">
      <c r="C62" s="260"/>
      <c r="D62" s="268"/>
      <c r="E62" s="268"/>
      <c r="F62" s="268"/>
      <c r="G62" s="268"/>
      <c r="H62" s="260"/>
      <c r="I62" s="268"/>
      <c r="J62" s="268"/>
      <c r="K62" s="260"/>
    </row>
    <row r="63" spans="1:11" ht="15.75" x14ac:dyDescent="0.25">
      <c r="C63" s="260"/>
      <c r="D63" s="268"/>
      <c r="E63" s="260"/>
      <c r="F63" s="260"/>
      <c r="G63" s="260"/>
      <c r="H63" s="295"/>
      <c r="I63" s="295"/>
      <c r="J63" s="295"/>
      <c r="K63" s="295"/>
    </row>
    <row r="64" spans="1:11" ht="15.75" x14ac:dyDescent="0.25">
      <c r="C64" s="260"/>
      <c r="D64" s="260"/>
    </row>
    <row r="65" spans="3:11" ht="15.75" x14ac:dyDescent="0.25">
      <c r="C65" s="260"/>
      <c r="D65" s="260"/>
    </row>
    <row r="66" spans="3:11" ht="15.75" x14ac:dyDescent="0.25">
      <c r="C66" s="260"/>
      <c r="D66" s="260"/>
    </row>
    <row r="67" spans="3:11" ht="15.75" x14ac:dyDescent="0.25">
      <c r="C67" s="260"/>
      <c r="D67" s="260"/>
    </row>
    <row r="68" spans="3:11" ht="15.75" x14ac:dyDescent="0.25">
      <c r="C68" s="260"/>
      <c r="D68" s="260"/>
    </row>
    <row r="69" spans="3:11" ht="15.75" x14ac:dyDescent="0.25">
      <c r="C69" s="260"/>
      <c r="D69" s="260"/>
    </row>
    <row r="70" spans="3:11" ht="15.75" x14ac:dyDescent="0.25">
      <c r="C70" s="260"/>
      <c r="D70" s="260"/>
    </row>
    <row r="71" spans="3:11" ht="15.75" x14ac:dyDescent="0.25">
      <c r="C71" s="260"/>
      <c r="D71" s="260"/>
    </row>
    <row r="72" spans="3:11" ht="15.75" x14ac:dyDescent="0.25">
      <c r="C72" s="260"/>
      <c r="D72" s="260"/>
    </row>
    <row r="73" spans="3:11" ht="15.75" x14ac:dyDescent="0.25">
      <c r="C73" s="260"/>
      <c r="D73" s="260"/>
    </row>
    <row r="74" spans="3:11" ht="15.75" x14ac:dyDescent="0.25">
      <c r="C74" s="260"/>
      <c r="D74" s="260"/>
    </row>
    <row r="75" spans="3:11" ht="15.75" x14ac:dyDescent="0.25">
      <c r="C75" s="260"/>
      <c r="D75" s="260"/>
    </row>
    <row r="76" spans="3:11" ht="15.75" x14ac:dyDescent="0.25">
      <c r="C76" s="260"/>
      <c r="D76" s="260"/>
    </row>
    <row r="77" spans="3:11" ht="15.75" x14ac:dyDescent="0.25">
      <c r="C77" s="260"/>
      <c r="D77" s="260"/>
    </row>
    <row r="78" spans="3:11" ht="15.75" x14ac:dyDescent="0.25">
      <c r="C78" s="260"/>
      <c r="D78" s="260"/>
      <c r="E78" s="260"/>
      <c r="F78" s="260"/>
      <c r="G78" s="260"/>
      <c r="H78" s="295"/>
      <c r="I78" s="295"/>
      <c r="J78" s="295"/>
      <c r="K78" s="295"/>
    </row>
    <row r="79" spans="3:11" ht="15.75" x14ac:dyDescent="0.25">
      <c r="C79" s="260"/>
      <c r="D79" s="260"/>
      <c r="E79" s="260"/>
      <c r="F79" s="260"/>
      <c r="G79" s="260"/>
      <c r="H79" s="295"/>
      <c r="I79" s="295"/>
      <c r="J79" s="295"/>
      <c r="K79" s="295"/>
    </row>
    <row r="80" spans="3:11" ht="15.75" x14ac:dyDescent="0.25">
      <c r="C80" s="260"/>
      <c r="D80" s="260"/>
      <c r="E80" s="260"/>
      <c r="F80" s="260"/>
      <c r="G80" s="260"/>
      <c r="H80" s="260"/>
      <c r="I80" s="260"/>
      <c r="J80" s="260"/>
      <c r="K80" s="260"/>
    </row>
    <row r="81" spans="3:11" ht="15.75" x14ac:dyDescent="0.25">
      <c r="C81" s="260"/>
      <c r="D81" s="260"/>
      <c r="E81" s="260"/>
      <c r="F81" s="260"/>
      <c r="G81" s="260"/>
      <c r="H81" s="260"/>
      <c r="I81" s="260"/>
      <c r="J81" s="260"/>
      <c r="K81" s="260"/>
    </row>
    <row r="82" spans="3:11" ht="15.75" x14ac:dyDescent="0.25">
      <c r="C82" s="260"/>
      <c r="D82" s="260"/>
      <c r="E82" s="260"/>
      <c r="F82" s="260"/>
      <c r="G82" s="260"/>
      <c r="H82" s="260"/>
      <c r="I82" s="260"/>
      <c r="J82" s="260"/>
      <c r="K82" s="260"/>
    </row>
    <row r="83" spans="3:11" ht="15.75" x14ac:dyDescent="0.25">
      <c r="C83" s="260"/>
      <c r="D83" s="260"/>
      <c r="E83" s="260"/>
      <c r="F83" s="260"/>
      <c r="G83" s="260"/>
      <c r="H83" s="260"/>
      <c r="I83" s="260"/>
      <c r="J83" s="260"/>
      <c r="K83" s="260"/>
    </row>
    <row r="84" spans="3:11" ht="15.75" x14ac:dyDescent="0.25">
      <c r="D84" s="260"/>
    </row>
  </sheetData>
  <mergeCells count="2">
    <mergeCell ref="C3:J3"/>
    <mergeCell ref="F7:G7"/>
  </mergeCells>
  <pageMargins left="0.7" right="0.7" top="0.75" bottom="0.75" header="0.3" footer="0.3"/>
  <ignoredErrors>
    <ignoredError sqref="E9:H17 E42:H44 E20:F41 H20:H41 E19:H19 I18 E18:G18 I36" emptyCellReference="1"/>
    <ignoredError sqref="G20:G41 H18" formula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B9499-8622-437C-8FF0-784B3975A898}">
  <dimension ref="B2:K82"/>
  <sheetViews>
    <sheetView showGridLines="0" topLeftCell="A39" workbookViewId="0">
      <selection activeCell="C45" sqref="C45:C54"/>
    </sheetView>
  </sheetViews>
  <sheetFormatPr defaultRowHeight="15" x14ac:dyDescent="0.2"/>
  <cols>
    <col min="2" max="2" width="2.77734375" customWidth="1"/>
    <col min="3" max="3" width="4.33203125" customWidth="1"/>
    <col min="4" max="4" width="12.77734375" customWidth="1"/>
    <col min="5" max="5" width="1.77734375" customWidth="1"/>
    <col min="6" max="6" width="12.77734375" customWidth="1"/>
    <col min="7" max="7" width="1.77734375" customWidth="1"/>
    <col min="8" max="8" width="14.77734375" customWidth="1"/>
    <col min="9" max="9" width="1.77734375" customWidth="1"/>
    <col min="10" max="10" width="14.77734375" customWidth="1"/>
    <col min="11" max="11" width="2.77734375" customWidth="1"/>
  </cols>
  <sheetData>
    <row r="2" spans="2:11" x14ac:dyDescent="0.2">
      <c r="B2" s="87"/>
      <c r="C2" s="88"/>
      <c r="D2" s="113"/>
      <c r="E2" s="157"/>
      <c r="F2" s="88"/>
      <c r="G2" s="88"/>
      <c r="H2" s="88"/>
      <c r="I2" s="88"/>
      <c r="J2" s="88"/>
      <c r="K2" s="89"/>
    </row>
    <row r="3" spans="2:11" ht="25.5" x14ac:dyDescent="0.35">
      <c r="B3" s="90"/>
      <c r="C3" s="334" t="s">
        <v>365</v>
      </c>
      <c r="D3" s="334"/>
      <c r="E3" s="334"/>
      <c r="F3" s="334"/>
      <c r="G3" s="334"/>
      <c r="H3" s="334"/>
      <c r="I3" s="334"/>
      <c r="J3" s="334"/>
      <c r="K3" s="91"/>
    </row>
    <row r="4" spans="2:11" x14ac:dyDescent="0.2">
      <c r="B4" s="90"/>
      <c r="K4" s="91"/>
    </row>
    <row r="5" spans="2:11" x14ac:dyDescent="0.2">
      <c r="B5" s="90"/>
      <c r="C5" s="31" t="s">
        <v>366</v>
      </c>
      <c r="D5" s="31" t="s">
        <v>378</v>
      </c>
      <c r="E5" s="31"/>
      <c r="K5" s="91"/>
    </row>
    <row r="6" spans="2:11" x14ac:dyDescent="0.2">
      <c r="B6" s="90"/>
      <c r="K6" s="91"/>
    </row>
    <row r="7" spans="2:11" x14ac:dyDescent="0.2">
      <c r="B7" s="90"/>
      <c r="C7" s="31" t="s">
        <v>367</v>
      </c>
      <c r="D7" s="31" t="s">
        <v>368</v>
      </c>
      <c r="E7" s="31"/>
      <c r="K7" s="91"/>
    </row>
    <row r="8" spans="2:11" x14ac:dyDescent="0.2">
      <c r="B8" s="90"/>
      <c r="C8" s="31"/>
      <c r="D8" s="31"/>
      <c r="E8" s="31"/>
      <c r="F8" s="31"/>
      <c r="K8" s="91"/>
    </row>
    <row r="9" spans="2:11" x14ac:dyDescent="0.2">
      <c r="B9" s="90"/>
      <c r="C9" s="335" t="s">
        <v>225</v>
      </c>
      <c r="D9" s="335"/>
      <c r="E9" s="335"/>
      <c r="F9" s="335"/>
      <c r="G9" s="335"/>
      <c r="H9" s="335"/>
      <c r="I9" s="335"/>
      <c r="J9" s="335"/>
      <c r="K9" s="91"/>
    </row>
    <row r="10" spans="2:11" x14ac:dyDescent="0.2">
      <c r="B10" s="90"/>
      <c r="C10" s="338" t="s">
        <v>429</v>
      </c>
      <c r="D10" s="338"/>
      <c r="E10" s="338"/>
      <c r="F10" s="338"/>
      <c r="G10" s="338"/>
      <c r="H10" s="338"/>
      <c r="I10" s="338"/>
      <c r="J10" s="338"/>
      <c r="K10" s="91"/>
    </row>
    <row r="11" spans="2:11" x14ac:dyDescent="0.2">
      <c r="B11" s="90"/>
      <c r="C11" s="337" t="s">
        <v>276</v>
      </c>
      <c r="D11" s="337"/>
      <c r="E11" s="31"/>
      <c r="F11" s="158" t="s">
        <v>277</v>
      </c>
      <c r="H11" s="158" t="s">
        <v>278</v>
      </c>
      <c r="I11" s="49"/>
      <c r="J11" s="158" t="s">
        <v>279</v>
      </c>
      <c r="K11" s="91"/>
    </row>
    <row r="12" spans="2:11" x14ac:dyDescent="0.2">
      <c r="B12" s="90"/>
      <c r="C12" s="147" t="s">
        <v>409</v>
      </c>
      <c r="D12" s="31"/>
      <c r="E12" s="31"/>
      <c r="F12" s="68">
        <f>'Emp Sal'!B3</f>
        <v>41600</v>
      </c>
      <c r="G12" s="31"/>
      <c r="H12" s="48">
        <f>'Emp Sal'!C3</f>
        <v>0.33</v>
      </c>
      <c r="I12" s="47"/>
      <c r="J12" s="47">
        <f t="shared" ref="J12:J21" si="0">ROUND(F12*H12,2)</f>
        <v>13728</v>
      </c>
      <c r="K12" s="91"/>
    </row>
    <row r="13" spans="2:11" x14ac:dyDescent="0.2">
      <c r="B13" s="90"/>
      <c r="C13" s="147" t="s">
        <v>410</v>
      </c>
      <c r="D13" s="31"/>
      <c r="E13" s="31"/>
      <c r="F13" s="47">
        <f>'Emp Sal'!B4</f>
        <v>38438.400000000001</v>
      </c>
      <c r="G13" s="31"/>
      <c r="H13" s="48">
        <f>'Emp Sal'!C4</f>
        <v>1</v>
      </c>
      <c r="I13" s="47"/>
      <c r="J13" s="47">
        <f t="shared" si="0"/>
        <v>38438.400000000001</v>
      </c>
      <c r="K13" s="91"/>
    </row>
    <row r="14" spans="2:11" x14ac:dyDescent="0.2">
      <c r="B14" s="90"/>
      <c r="C14" s="147" t="s">
        <v>411</v>
      </c>
      <c r="D14" s="31"/>
      <c r="E14" s="31"/>
      <c r="F14" s="47">
        <f>'Emp Sal'!B5</f>
        <v>47590.400000000001</v>
      </c>
      <c r="G14" s="31"/>
      <c r="H14" s="48">
        <f>'Emp Sal'!C5</f>
        <v>0.5</v>
      </c>
      <c r="I14" s="47"/>
      <c r="J14" s="47">
        <f t="shared" si="0"/>
        <v>23795.200000000001</v>
      </c>
      <c r="K14" s="91"/>
    </row>
    <row r="15" spans="2:11" x14ac:dyDescent="0.2">
      <c r="B15" s="90"/>
      <c r="C15" s="147" t="s">
        <v>412</v>
      </c>
      <c r="D15" s="31"/>
      <c r="E15" s="31"/>
      <c r="F15" s="47">
        <f>'Emp Sal'!B6</f>
        <v>72950</v>
      </c>
      <c r="G15" s="31"/>
      <c r="H15" s="48">
        <f>'Emp Sal'!C6</f>
        <v>0.5</v>
      </c>
      <c r="I15" s="47"/>
      <c r="J15" s="47">
        <f t="shared" si="0"/>
        <v>36475</v>
      </c>
      <c r="K15" s="91"/>
    </row>
    <row r="16" spans="2:11" x14ac:dyDescent="0.2">
      <c r="B16" s="90"/>
      <c r="C16" s="147" t="s">
        <v>413</v>
      </c>
      <c r="D16" s="31"/>
      <c r="E16" s="31"/>
      <c r="F16" s="47">
        <f>'Emp Sal'!B7</f>
        <v>54080</v>
      </c>
      <c r="G16" s="31"/>
      <c r="H16" s="48">
        <f>'Emp Sal'!C7</f>
        <v>1</v>
      </c>
      <c r="I16" s="47"/>
      <c r="J16" s="47">
        <f t="shared" si="0"/>
        <v>54080</v>
      </c>
      <c r="K16" s="91"/>
    </row>
    <row r="17" spans="2:11" x14ac:dyDescent="0.2">
      <c r="B17" s="90"/>
      <c r="C17" s="147" t="s">
        <v>414</v>
      </c>
      <c r="D17" s="31"/>
      <c r="E17" s="31"/>
      <c r="F17" s="47">
        <f>'Emp Sal'!B8</f>
        <v>41600</v>
      </c>
      <c r="G17" s="31"/>
      <c r="H17" s="48">
        <f>'Emp Sal'!C8</f>
        <v>0.35</v>
      </c>
      <c r="I17" s="47"/>
      <c r="J17" s="47">
        <f t="shared" si="0"/>
        <v>14560</v>
      </c>
      <c r="K17" s="91"/>
    </row>
    <row r="18" spans="2:11" x14ac:dyDescent="0.2">
      <c r="B18" s="90"/>
      <c r="C18" s="147" t="s">
        <v>415</v>
      </c>
      <c r="D18" s="31"/>
      <c r="E18" s="31"/>
      <c r="F18" s="47">
        <f>'Emp Sal'!B9</f>
        <v>40601.599999999999</v>
      </c>
      <c r="G18" s="31"/>
      <c r="H18" s="48">
        <f>'Emp Sal'!C9</f>
        <v>0.25</v>
      </c>
      <c r="I18" s="47"/>
      <c r="J18" s="47">
        <f t="shared" si="0"/>
        <v>10150.4</v>
      </c>
      <c r="K18" s="91"/>
    </row>
    <row r="19" spans="2:11" x14ac:dyDescent="0.2">
      <c r="B19" s="90"/>
      <c r="C19" s="147" t="s">
        <v>275</v>
      </c>
      <c r="D19" s="31"/>
      <c r="E19" s="31"/>
      <c r="F19" s="47">
        <f>'Emp Sal'!B10</f>
        <v>72000</v>
      </c>
      <c r="G19" s="31"/>
      <c r="H19" s="48">
        <f>'Emp Sal'!C10</f>
        <v>0.25</v>
      </c>
      <c r="I19" s="47"/>
      <c r="J19" s="47">
        <f t="shared" si="0"/>
        <v>18000</v>
      </c>
      <c r="K19" s="91"/>
    </row>
    <row r="20" spans="2:11" x14ac:dyDescent="0.2">
      <c r="B20" s="90"/>
      <c r="C20" s="147" t="s">
        <v>416</v>
      </c>
      <c r="D20" s="31"/>
      <c r="E20" s="31"/>
      <c r="F20" s="47">
        <f>'Emp Sal'!B11</f>
        <v>46800</v>
      </c>
      <c r="G20" s="31"/>
      <c r="H20" s="48">
        <f>'Emp Sal'!C11</f>
        <v>0.25</v>
      </c>
      <c r="I20" s="47"/>
      <c r="J20" s="47">
        <f t="shared" si="0"/>
        <v>11700</v>
      </c>
      <c r="K20" s="91"/>
    </row>
    <row r="21" spans="2:11" x14ac:dyDescent="0.2">
      <c r="B21" s="90"/>
      <c r="C21" s="147" t="s">
        <v>417</v>
      </c>
      <c r="D21" s="31"/>
      <c r="E21" s="31"/>
      <c r="F21" s="47">
        <f>'Emp Sal'!B12</f>
        <v>63280</v>
      </c>
      <c r="G21" s="31"/>
      <c r="H21" s="48">
        <f>'Emp Sal'!C12</f>
        <v>0.25</v>
      </c>
      <c r="I21" s="47"/>
      <c r="J21" s="57">
        <f t="shared" si="0"/>
        <v>15820</v>
      </c>
      <c r="K21" s="91"/>
    </row>
    <row r="22" spans="2:11" x14ac:dyDescent="0.2">
      <c r="B22" s="90"/>
      <c r="C22" s="31" t="s">
        <v>281</v>
      </c>
      <c r="D22" s="31"/>
      <c r="E22" s="31"/>
      <c r="H22" s="47"/>
      <c r="I22" s="47"/>
      <c r="J22" s="47">
        <f>SUM(J12:J21)</f>
        <v>236747</v>
      </c>
      <c r="K22" s="91"/>
    </row>
    <row r="23" spans="2:11" x14ac:dyDescent="0.2">
      <c r="B23" s="90"/>
      <c r="C23" s="31" t="s">
        <v>282</v>
      </c>
      <c r="D23" s="31"/>
      <c r="E23" s="31"/>
      <c r="H23" s="47"/>
      <c r="I23" s="47"/>
      <c r="J23" s="57">
        <f>-'Trial Balance'!G8-'Trial Balance'!I8</f>
        <v>-232250</v>
      </c>
      <c r="K23" s="91"/>
    </row>
    <row r="24" spans="2:11" ht="15.75" thickBot="1" x14ac:dyDescent="0.25">
      <c r="B24" s="90"/>
      <c r="C24" s="31" t="s">
        <v>119</v>
      </c>
      <c r="D24" s="31"/>
      <c r="E24" s="31"/>
      <c r="H24" s="47"/>
      <c r="I24" s="47"/>
      <c r="J24" s="53">
        <f>SUM(J22:J23)</f>
        <v>4497</v>
      </c>
      <c r="K24" s="91"/>
    </row>
    <row r="25" spans="2:11" ht="15.75" thickTop="1" x14ac:dyDescent="0.2">
      <c r="B25" s="90"/>
      <c r="K25" s="91"/>
    </row>
    <row r="26" spans="2:11" x14ac:dyDescent="0.2">
      <c r="B26" s="90"/>
      <c r="C26" s="31" t="s">
        <v>283</v>
      </c>
      <c r="K26" s="91"/>
    </row>
    <row r="27" spans="2:11" x14ac:dyDescent="0.2">
      <c r="B27" s="90"/>
      <c r="C27" t="s">
        <v>345</v>
      </c>
      <c r="J27" s="47">
        <f>J22</f>
        <v>236747</v>
      </c>
      <c r="K27" s="91"/>
    </row>
    <row r="28" spans="2:11" x14ac:dyDescent="0.2">
      <c r="B28" s="90"/>
      <c r="C28" t="s">
        <v>346</v>
      </c>
      <c r="J28" s="70">
        <v>0.17430000000000001</v>
      </c>
      <c r="K28" s="91"/>
    </row>
    <row r="29" spans="2:11" x14ac:dyDescent="0.2">
      <c r="B29" s="90"/>
      <c r="C29" t="s">
        <v>347</v>
      </c>
      <c r="J29" s="47">
        <f>ROUND(J27*J28,2)</f>
        <v>41265</v>
      </c>
      <c r="K29" s="91"/>
    </row>
    <row r="30" spans="2:11" x14ac:dyDescent="0.2">
      <c r="B30" s="90"/>
      <c r="C30" t="s">
        <v>348</v>
      </c>
      <c r="J30" s="57">
        <f>-'Trial Balance'!G11-'Trial Balance'!I11</f>
        <v>-47688</v>
      </c>
      <c r="K30" s="91"/>
    </row>
    <row r="31" spans="2:11" ht="15.75" thickBot="1" x14ac:dyDescent="0.25">
      <c r="B31" s="90"/>
      <c r="C31" t="s">
        <v>349</v>
      </c>
      <c r="J31" s="53">
        <f>SUM(J29:J30)</f>
        <v>-6423</v>
      </c>
      <c r="K31" s="91"/>
    </row>
    <row r="32" spans="2:11" ht="15.75" thickTop="1" x14ac:dyDescent="0.2">
      <c r="B32" s="90"/>
      <c r="J32" s="47"/>
      <c r="K32" s="91"/>
    </row>
    <row r="33" spans="2:11" x14ac:dyDescent="0.2">
      <c r="B33" s="90"/>
      <c r="C33" t="s">
        <v>351</v>
      </c>
      <c r="J33" s="47"/>
      <c r="K33" s="91"/>
    </row>
    <row r="34" spans="2:11" x14ac:dyDescent="0.2">
      <c r="B34" s="90"/>
      <c r="C34" t="s">
        <v>345</v>
      </c>
      <c r="J34" s="47">
        <f>J27</f>
        <v>236747</v>
      </c>
      <c r="K34" s="91"/>
    </row>
    <row r="35" spans="2:11" x14ac:dyDescent="0.2">
      <c r="B35" s="90"/>
      <c r="C35" t="s">
        <v>350</v>
      </c>
      <c r="J35" s="70">
        <v>7.6700000000000004E-2</v>
      </c>
      <c r="K35" s="91"/>
    </row>
    <row r="36" spans="2:11" x14ac:dyDescent="0.2">
      <c r="B36" s="90"/>
      <c r="C36" t="s">
        <v>352</v>
      </c>
      <c r="J36" s="47">
        <f>ROUND(J34*J35,2)</f>
        <v>18158.490000000002</v>
      </c>
      <c r="K36" s="91"/>
    </row>
    <row r="37" spans="2:11" x14ac:dyDescent="0.2">
      <c r="B37" s="90"/>
      <c r="C37" t="s">
        <v>353</v>
      </c>
      <c r="J37" s="57">
        <f>-'Trial Balance'!G15-'Trial Balance'!I15</f>
        <v>-19214</v>
      </c>
      <c r="K37" s="91"/>
    </row>
    <row r="38" spans="2:11" ht="15.75" thickBot="1" x14ac:dyDescent="0.25">
      <c r="B38" s="90"/>
      <c r="C38" t="s">
        <v>349</v>
      </c>
      <c r="J38" s="53">
        <f>SUM(J36:J37)</f>
        <v>-1055.5099999999984</v>
      </c>
      <c r="K38" s="91"/>
    </row>
    <row r="39" spans="2:11" ht="15.75" thickTop="1" x14ac:dyDescent="0.2">
      <c r="B39" s="90"/>
      <c r="J39" s="47"/>
      <c r="K39" s="91"/>
    </row>
    <row r="40" spans="2:11" x14ac:dyDescent="0.2">
      <c r="B40" s="90"/>
      <c r="C40" t="s">
        <v>369</v>
      </c>
      <c r="D40" s="31" t="s">
        <v>431</v>
      </c>
      <c r="J40" s="47"/>
      <c r="K40" s="91"/>
    </row>
    <row r="41" spans="2:11" x14ac:dyDescent="0.2">
      <c r="B41" s="90"/>
      <c r="K41" s="91"/>
    </row>
    <row r="42" spans="2:11" x14ac:dyDescent="0.2">
      <c r="B42" s="90"/>
      <c r="C42" s="335" t="s">
        <v>225</v>
      </c>
      <c r="D42" s="335"/>
      <c r="E42" s="335"/>
      <c r="F42" s="335"/>
      <c r="G42" s="335"/>
      <c r="H42" s="335"/>
      <c r="I42" s="335"/>
      <c r="J42" s="335"/>
      <c r="K42" s="91"/>
    </row>
    <row r="43" spans="2:11" x14ac:dyDescent="0.2">
      <c r="B43" s="90"/>
      <c r="C43" s="338" t="s">
        <v>429</v>
      </c>
      <c r="D43" s="338"/>
      <c r="E43" s="338"/>
      <c r="F43" s="338"/>
      <c r="G43" s="338"/>
      <c r="H43" s="338"/>
      <c r="I43" s="338"/>
      <c r="J43" s="338"/>
      <c r="K43" s="91"/>
    </row>
    <row r="44" spans="2:11" x14ac:dyDescent="0.2">
      <c r="B44" s="90"/>
      <c r="C44" s="337" t="s">
        <v>276</v>
      </c>
      <c r="D44" s="337"/>
      <c r="E44" s="31"/>
      <c r="F44" s="158" t="s">
        <v>277</v>
      </c>
      <c r="H44" s="158" t="s">
        <v>278</v>
      </c>
      <c r="I44" s="49"/>
      <c r="J44" s="158" t="s">
        <v>279</v>
      </c>
      <c r="K44" s="91"/>
    </row>
    <row r="45" spans="2:11" x14ac:dyDescent="0.2">
      <c r="B45" s="90"/>
      <c r="C45" s="147" t="s">
        <v>433</v>
      </c>
      <c r="D45" s="31"/>
      <c r="E45" s="31"/>
      <c r="F45" s="68">
        <f>'Emp Ins'!D3</f>
        <v>14064.59</v>
      </c>
      <c r="G45" s="31"/>
      <c r="H45" s="48">
        <f>'Emp Ins'!E3</f>
        <v>0.33</v>
      </c>
      <c r="I45" s="47"/>
      <c r="J45" s="47">
        <f t="shared" ref="J45:J54" si="1">ROUND(F45*H45,2)</f>
        <v>4641.3100000000004</v>
      </c>
      <c r="K45" s="91"/>
    </row>
    <row r="46" spans="2:11" x14ac:dyDescent="0.2">
      <c r="B46" s="90"/>
      <c r="C46" s="147" t="s">
        <v>434</v>
      </c>
      <c r="D46" s="31"/>
      <c r="E46" s="31"/>
      <c r="F46" s="49">
        <f>'Emp Ins'!D4</f>
        <v>25802.65</v>
      </c>
      <c r="G46" s="31"/>
      <c r="H46" s="48">
        <f>'Emp Ins'!E4</f>
        <v>1</v>
      </c>
      <c r="I46" s="47"/>
      <c r="J46" s="47">
        <f t="shared" si="1"/>
        <v>25802.65</v>
      </c>
      <c r="K46" s="91"/>
    </row>
    <row r="47" spans="2:11" x14ac:dyDescent="0.2">
      <c r="B47" s="90"/>
      <c r="C47" s="147" t="s">
        <v>435</v>
      </c>
      <c r="D47" s="31"/>
      <c r="E47" s="31"/>
      <c r="F47" s="49">
        <f>'Emp Ins'!D5</f>
        <v>14069.58</v>
      </c>
      <c r="G47" s="31"/>
      <c r="H47" s="48">
        <f>'Emp Ins'!E5</f>
        <v>0.5</v>
      </c>
      <c r="I47" s="47"/>
      <c r="J47" s="47">
        <f t="shared" si="1"/>
        <v>7034.79</v>
      </c>
      <c r="K47" s="91"/>
    </row>
    <row r="48" spans="2:11" x14ac:dyDescent="0.2">
      <c r="B48" s="90"/>
      <c r="C48" s="147" t="s">
        <v>436</v>
      </c>
      <c r="D48" s="31"/>
      <c r="E48" s="31"/>
      <c r="F48" s="49">
        <f>'Emp Ins'!D6</f>
        <v>14054.349999999999</v>
      </c>
      <c r="G48" s="31"/>
      <c r="H48" s="48">
        <f>'Emp Ins'!E6</f>
        <v>0.5</v>
      </c>
      <c r="I48" s="47"/>
      <c r="J48" s="47">
        <f t="shared" si="1"/>
        <v>7027.18</v>
      </c>
      <c r="K48" s="91"/>
    </row>
    <row r="49" spans="2:11" x14ac:dyDescent="0.2">
      <c r="B49" s="90"/>
      <c r="C49" s="147" t="s">
        <v>437</v>
      </c>
      <c r="D49" s="31"/>
      <c r="E49" s="31"/>
      <c r="F49" s="49">
        <f>'Emp Ins'!D7</f>
        <v>14064.59</v>
      </c>
      <c r="G49" s="31"/>
      <c r="H49" s="48">
        <f>'Emp Ins'!E7</f>
        <v>1</v>
      </c>
      <c r="I49" s="47"/>
      <c r="J49" s="47">
        <f t="shared" si="1"/>
        <v>14064.59</v>
      </c>
      <c r="K49" s="91"/>
    </row>
    <row r="50" spans="2:11" x14ac:dyDescent="0.2">
      <c r="B50" s="90"/>
      <c r="C50" s="147" t="s">
        <v>438</v>
      </c>
      <c r="D50" s="31"/>
      <c r="E50" s="31"/>
      <c r="F50" s="49">
        <f>'Emp Ins'!D8</f>
        <v>13976.98</v>
      </c>
      <c r="G50" s="31"/>
      <c r="H50" s="48">
        <f>'Emp Ins'!E8</f>
        <v>0.35</v>
      </c>
      <c r="I50" s="47"/>
      <c r="J50" s="47">
        <f t="shared" si="1"/>
        <v>4891.9399999999996</v>
      </c>
      <c r="K50" s="91"/>
    </row>
    <row r="51" spans="2:11" x14ac:dyDescent="0.2">
      <c r="B51" s="90"/>
      <c r="C51" s="147" t="s">
        <v>439</v>
      </c>
      <c r="D51" s="31"/>
      <c r="E51" s="31"/>
      <c r="F51" s="49">
        <f>'Emp Ins'!D9</f>
        <v>14111.880000000001</v>
      </c>
      <c r="G51" s="31"/>
      <c r="H51" s="48">
        <f>'Emp Ins'!E9</f>
        <v>0.25</v>
      </c>
      <c r="I51" s="47"/>
      <c r="J51" s="47">
        <f t="shared" si="1"/>
        <v>3527.97</v>
      </c>
      <c r="K51" s="91"/>
    </row>
    <row r="52" spans="2:11" x14ac:dyDescent="0.2">
      <c r="B52" s="90"/>
      <c r="C52" s="147" t="s">
        <v>440</v>
      </c>
      <c r="D52" s="31"/>
      <c r="E52" s="31"/>
      <c r="F52" s="49">
        <f>'Emp Ins'!D10</f>
        <v>0</v>
      </c>
      <c r="G52" s="31"/>
      <c r="H52" s="48">
        <f>'Emp Ins'!E10</f>
        <v>0.25</v>
      </c>
      <c r="I52" s="47"/>
      <c r="J52" s="47">
        <f t="shared" si="1"/>
        <v>0</v>
      </c>
      <c r="K52" s="91"/>
    </row>
    <row r="53" spans="2:11" x14ac:dyDescent="0.2">
      <c r="B53" s="90"/>
      <c r="C53" s="147" t="s">
        <v>441</v>
      </c>
      <c r="D53" s="31"/>
      <c r="E53" s="31"/>
      <c r="F53" s="49">
        <f>'Emp Ins'!D11</f>
        <v>14064.59</v>
      </c>
      <c r="G53" s="31"/>
      <c r="H53" s="48">
        <f>'Emp Ins'!E11</f>
        <v>0.25</v>
      </c>
      <c r="I53" s="47"/>
      <c r="J53" s="47">
        <f t="shared" si="1"/>
        <v>3516.15</v>
      </c>
      <c r="K53" s="91"/>
    </row>
    <row r="54" spans="2:11" x14ac:dyDescent="0.2">
      <c r="B54" s="90"/>
      <c r="C54" s="147" t="s">
        <v>442</v>
      </c>
      <c r="D54" s="31"/>
      <c r="E54" s="31"/>
      <c r="F54" s="49">
        <f>'Emp Ins'!D12</f>
        <v>14051.86</v>
      </c>
      <c r="G54" s="31"/>
      <c r="H54" s="48">
        <f>'Emp Ins'!E12</f>
        <v>0.25</v>
      </c>
      <c r="I54" s="47"/>
      <c r="J54" s="57">
        <f t="shared" si="1"/>
        <v>3512.97</v>
      </c>
      <c r="K54" s="91"/>
    </row>
    <row r="55" spans="2:11" x14ac:dyDescent="0.2">
      <c r="B55" s="90"/>
      <c r="C55" s="31" t="s">
        <v>281</v>
      </c>
      <c r="D55" s="31"/>
      <c r="E55" s="31"/>
      <c r="F55" s="47"/>
      <c r="H55" s="47"/>
      <c r="I55" s="47"/>
      <c r="J55" s="47">
        <f>SUM(J45:J54)</f>
        <v>74019.55</v>
      </c>
      <c r="K55" s="91"/>
    </row>
    <row r="56" spans="2:11" x14ac:dyDescent="0.2">
      <c r="B56" s="90"/>
      <c r="C56" s="31" t="s">
        <v>282</v>
      </c>
      <c r="D56" s="31"/>
      <c r="E56" s="31"/>
      <c r="H56" s="47"/>
      <c r="I56" s="47"/>
      <c r="J56" s="57">
        <f>-'Trial Balance'!G13-'Trial Balance'!I13</f>
        <v>-37805</v>
      </c>
      <c r="K56" s="91"/>
    </row>
    <row r="57" spans="2:11" ht="15.75" thickBot="1" x14ac:dyDescent="0.25">
      <c r="B57" s="90"/>
      <c r="C57" s="31" t="s">
        <v>119</v>
      </c>
      <c r="D57" s="31"/>
      <c r="E57" s="31"/>
      <c r="H57" s="47"/>
      <c r="I57" s="47"/>
      <c r="J57" s="53">
        <f>SUM(J55:J56)</f>
        <v>36214.550000000003</v>
      </c>
      <c r="K57" s="91"/>
    </row>
    <row r="58" spans="2:11" ht="15.75" thickTop="1" x14ac:dyDescent="0.2">
      <c r="B58" s="90"/>
      <c r="K58" s="91"/>
    </row>
    <row r="59" spans="2:11" x14ac:dyDescent="0.2">
      <c r="B59" s="90"/>
      <c r="C59" s="31" t="s">
        <v>401</v>
      </c>
      <c r="D59" s="31" t="s">
        <v>400</v>
      </c>
      <c r="E59" s="31"/>
      <c r="K59" s="91"/>
    </row>
    <row r="60" spans="2:11" x14ac:dyDescent="0.2">
      <c r="B60" s="90"/>
      <c r="C60" s="31"/>
      <c r="D60" s="31"/>
      <c r="E60" s="31"/>
      <c r="K60" s="91"/>
    </row>
    <row r="61" spans="2:11" x14ac:dyDescent="0.2">
      <c r="B61" s="90"/>
      <c r="C61" s="31" t="s">
        <v>387</v>
      </c>
      <c r="D61" s="31" t="s">
        <v>388</v>
      </c>
      <c r="E61" s="31"/>
      <c r="K61" s="91"/>
    </row>
    <row r="62" spans="2:11" x14ac:dyDescent="0.2">
      <c r="B62" s="90"/>
      <c r="C62" s="31"/>
      <c r="D62" s="31"/>
      <c r="E62" s="31"/>
      <c r="K62" s="91"/>
    </row>
    <row r="63" spans="2:11" x14ac:dyDescent="0.2">
      <c r="B63" s="90"/>
      <c r="C63" s="31" t="s">
        <v>59</v>
      </c>
      <c r="D63" s="31"/>
      <c r="E63" s="31"/>
      <c r="H63" s="140">
        <f>ROUND('System Info.'!F29,1)</f>
        <v>326664.59999999998</v>
      </c>
      <c r="K63" s="91"/>
    </row>
    <row r="64" spans="2:11" x14ac:dyDescent="0.2">
      <c r="B64" s="90"/>
      <c r="C64" s="31" t="s">
        <v>395</v>
      </c>
      <c r="D64" s="31"/>
      <c r="E64" s="31"/>
      <c r="H64" s="140">
        <f>-ROUND('System Info.'!F32,1)</f>
        <v>-248938.4</v>
      </c>
      <c r="K64" s="91"/>
    </row>
    <row r="65" spans="2:11" x14ac:dyDescent="0.2">
      <c r="B65" s="90"/>
      <c r="C65" s="31" t="s">
        <v>396</v>
      </c>
      <c r="D65" s="31"/>
      <c r="E65" s="31"/>
      <c r="H65" s="142">
        <f>-ROUND(SUM('System Info.'!F34:F35),1)</f>
        <v>-8982.2999999999993</v>
      </c>
      <c r="K65" s="91"/>
    </row>
    <row r="66" spans="2:11" ht="15.75" thickBot="1" x14ac:dyDescent="0.25">
      <c r="B66" s="90"/>
      <c r="C66" s="31" t="s">
        <v>397</v>
      </c>
      <c r="D66" s="31"/>
      <c r="E66" s="31"/>
      <c r="H66" s="143">
        <f>SUM(H63:H65)</f>
        <v>68743.89999999998</v>
      </c>
      <c r="K66" s="91"/>
    </row>
    <row r="67" spans="2:11" ht="16.5" thickTop="1" thickBot="1" x14ac:dyDescent="0.25">
      <c r="B67" s="90"/>
      <c r="C67" s="31" t="s">
        <v>398</v>
      </c>
      <c r="D67" s="31"/>
      <c r="E67" s="31"/>
      <c r="H67" s="71">
        <f>ROUND(H66/H63,4)</f>
        <v>0.2104</v>
      </c>
      <c r="K67" s="91"/>
    </row>
    <row r="68" spans="2:11" ht="16.5" thickTop="1" thickBot="1" x14ac:dyDescent="0.25">
      <c r="B68" s="90"/>
      <c r="C68" s="31" t="s">
        <v>399</v>
      </c>
      <c r="D68" s="31"/>
      <c r="E68" s="31"/>
      <c r="H68" s="71">
        <f>15%-H67</f>
        <v>-6.0400000000000009E-2</v>
      </c>
      <c r="K68" s="91"/>
    </row>
    <row r="69" spans="2:11" ht="15.75" thickTop="1" x14ac:dyDescent="0.2">
      <c r="B69" s="90"/>
      <c r="C69" s="31"/>
      <c r="D69" s="31"/>
      <c r="E69" s="31"/>
      <c r="H69" s="54"/>
      <c r="K69" s="91"/>
    </row>
    <row r="70" spans="2:11" x14ac:dyDescent="0.2">
      <c r="B70" s="90"/>
      <c r="C70" s="31"/>
      <c r="D70" s="31"/>
      <c r="E70" s="31"/>
      <c r="H70" s="141" t="s">
        <v>109</v>
      </c>
      <c r="J70" s="141" t="s">
        <v>359</v>
      </c>
      <c r="K70" s="91"/>
    </row>
    <row r="71" spans="2:11" x14ac:dyDescent="0.2">
      <c r="B71" s="90"/>
      <c r="C71" s="31" t="s">
        <v>389</v>
      </c>
      <c r="D71" s="31"/>
      <c r="E71" s="31"/>
      <c r="H71" s="140">
        <f>'Trial Balance'!G21</f>
        <v>180765</v>
      </c>
      <c r="J71" s="140">
        <f>'Trial Balance'!I19</f>
        <v>70462.59</v>
      </c>
      <c r="K71" s="91"/>
    </row>
    <row r="72" spans="2:11" x14ac:dyDescent="0.2">
      <c r="B72" s="90"/>
      <c r="C72" s="31" t="s">
        <v>390</v>
      </c>
      <c r="D72" s="31"/>
      <c r="E72" s="31"/>
      <c r="H72" s="144">
        <f>H68</f>
        <v>-6.0400000000000009E-2</v>
      </c>
      <c r="J72" s="144">
        <f>H68</f>
        <v>-6.0400000000000009E-2</v>
      </c>
      <c r="K72" s="91"/>
    </row>
    <row r="73" spans="2:11" ht="15.75" thickBot="1" x14ac:dyDescent="0.25">
      <c r="B73" s="90"/>
      <c r="C73" s="31" t="s">
        <v>107</v>
      </c>
      <c r="D73" s="31"/>
      <c r="E73" s="31"/>
      <c r="H73" s="53">
        <f t="shared" ref="H73:J73" si="2">ROUND(H71*H72,2)</f>
        <v>-10918.21</v>
      </c>
      <c r="J73" s="53">
        <f t="shared" si="2"/>
        <v>-4255.9399999999996</v>
      </c>
      <c r="K73" s="91"/>
    </row>
    <row r="74" spans="2:11" ht="15.75" thickTop="1" x14ac:dyDescent="0.2">
      <c r="B74" s="90"/>
      <c r="C74" s="31"/>
      <c r="D74" s="31"/>
      <c r="E74" s="31"/>
      <c r="K74" s="91"/>
    </row>
    <row r="75" spans="2:11" x14ac:dyDescent="0.2">
      <c r="B75" s="90"/>
      <c r="C75" s="31" t="s">
        <v>432</v>
      </c>
      <c r="D75" s="336" t="s">
        <v>402</v>
      </c>
      <c r="E75" s="336"/>
      <c r="F75" s="336"/>
      <c r="G75" s="336"/>
      <c r="H75" s="336"/>
      <c r="K75" s="91"/>
    </row>
    <row r="76" spans="2:11" x14ac:dyDescent="0.2">
      <c r="B76" s="90"/>
      <c r="C76" s="31"/>
      <c r="D76" s="336"/>
      <c r="E76" s="336"/>
      <c r="F76" s="336"/>
      <c r="G76" s="336"/>
      <c r="H76" s="336"/>
      <c r="K76" s="91"/>
    </row>
    <row r="77" spans="2:11" x14ac:dyDescent="0.2">
      <c r="B77" s="90"/>
      <c r="C77" s="31"/>
      <c r="D77" s="31"/>
      <c r="E77" s="31"/>
      <c r="K77" s="91"/>
    </row>
    <row r="78" spans="2:11" ht="15.75" thickBot="1" x14ac:dyDescent="0.25">
      <c r="B78" s="90"/>
      <c r="C78" s="31" t="s">
        <v>403</v>
      </c>
      <c r="D78" s="31"/>
      <c r="E78" s="31"/>
      <c r="H78" s="145">
        <v>-94653</v>
      </c>
      <c r="K78" s="91"/>
    </row>
    <row r="79" spans="2:11" ht="16.5" thickTop="1" thickBot="1" x14ac:dyDescent="0.25">
      <c r="B79" s="90"/>
      <c r="C79" s="31" t="s">
        <v>403</v>
      </c>
      <c r="D79" s="31"/>
      <c r="E79" s="31"/>
      <c r="H79" s="145">
        <v>-72727</v>
      </c>
      <c r="K79" s="91"/>
    </row>
    <row r="80" spans="2:11" ht="15.75" thickTop="1" x14ac:dyDescent="0.2">
      <c r="B80" s="90"/>
      <c r="C80" s="31"/>
      <c r="D80" s="31"/>
      <c r="E80" s="31"/>
      <c r="K80" s="91"/>
    </row>
    <row r="81" spans="2:11" x14ac:dyDescent="0.2">
      <c r="B81" s="90"/>
      <c r="C81" s="31" t="s">
        <v>406</v>
      </c>
      <c r="D81" s="31" t="s">
        <v>377</v>
      </c>
      <c r="E81" s="31"/>
      <c r="K81" s="91"/>
    </row>
    <row r="82" spans="2:11" x14ac:dyDescent="0.2">
      <c r="B82" s="92"/>
      <c r="C82" s="93"/>
      <c r="D82" s="93"/>
      <c r="E82" s="93"/>
      <c r="F82" s="93"/>
      <c r="G82" s="93"/>
      <c r="H82" s="93"/>
      <c r="I82" s="93"/>
      <c r="J82" s="93"/>
      <c r="K82" s="94"/>
    </row>
  </sheetData>
  <mergeCells count="8">
    <mergeCell ref="C3:J3"/>
    <mergeCell ref="C9:J9"/>
    <mergeCell ref="D75:H76"/>
    <mergeCell ref="C11:D11"/>
    <mergeCell ref="C10:J10"/>
    <mergeCell ref="C42:J42"/>
    <mergeCell ref="C43:J43"/>
    <mergeCell ref="C44:D44"/>
  </mergeCells>
  <phoneticPr fontId="44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33EB-AE2F-4575-84AB-D825DA590720}">
  <dimension ref="B5:F37"/>
  <sheetViews>
    <sheetView workbookViewId="0">
      <selection activeCell="F5" sqref="F5:F36"/>
    </sheetView>
  </sheetViews>
  <sheetFormatPr defaultColWidth="15.77734375" defaultRowHeight="15" x14ac:dyDescent="0.2"/>
  <cols>
    <col min="3" max="3" width="1.77734375" customWidth="1"/>
    <col min="4" max="4" width="32.21875" customWidth="1"/>
    <col min="5" max="5" width="1.77734375" customWidth="1"/>
  </cols>
  <sheetData>
    <row r="5" spans="2:6" x14ac:dyDescent="0.2">
      <c r="B5" s="41" t="s">
        <v>131</v>
      </c>
      <c r="C5" s="41"/>
      <c r="D5" s="42" t="s">
        <v>132</v>
      </c>
      <c r="E5" s="42"/>
      <c r="F5" s="43">
        <v>132758</v>
      </c>
    </row>
    <row r="6" spans="2:6" x14ac:dyDescent="0.2">
      <c r="B6" s="41" t="s">
        <v>181</v>
      </c>
      <c r="C6" s="41"/>
      <c r="D6" s="42" t="s">
        <v>132</v>
      </c>
      <c r="E6" s="42"/>
      <c r="F6" s="43">
        <v>99492</v>
      </c>
    </row>
    <row r="7" spans="2:6" ht="15.75" thickBot="1" x14ac:dyDescent="0.25">
      <c r="B7" s="48"/>
      <c r="C7" s="48"/>
      <c r="D7" s="31" t="s">
        <v>288</v>
      </c>
      <c r="E7" s="31"/>
      <c r="F7" s="53">
        <f>SUM(F5:F6)</f>
        <v>232250</v>
      </c>
    </row>
    <row r="8" spans="2:6" ht="15.75" thickTop="1" x14ac:dyDescent="0.2">
      <c r="B8" s="48"/>
      <c r="C8" s="48"/>
      <c r="F8" s="47"/>
    </row>
    <row r="9" spans="2:6" x14ac:dyDescent="0.2">
      <c r="B9" s="41" t="s">
        <v>133</v>
      </c>
      <c r="C9" s="41"/>
      <c r="D9" s="42" t="s">
        <v>134</v>
      </c>
      <c r="E9" s="42"/>
      <c r="F9" s="43">
        <v>14590</v>
      </c>
    </row>
    <row r="10" spans="2:6" x14ac:dyDescent="0.2">
      <c r="B10" s="41" t="s">
        <v>182</v>
      </c>
      <c r="C10" s="41"/>
      <c r="D10" s="42" t="s">
        <v>134</v>
      </c>
      <c r="E10" s="42"/>
      <c r="F10" s="43">
        <v>5042</v>
      </c>
    </row>
    <row r="11" spans="2:6" ht="15.75" thickBot="1" x14ac:dyDescent="0.25">
      <c r="B11" s="41"/>
      <c r="C11" s="41"/>
      <c r="D11" s="42" t="s">
        <v>289</v>
      </c>
      <c r="E11" s="42"/>
      <c r="F11" s="53">
        <f>SUM(F9:F10)</f>
        <v>19632</v>
      </c>
    </row>
    <row r="12" spans="2:6" ht="15.75" thickTop="1" x14ac:dyDescent="0.2">
      <c r="B12" s="41"/>
      <c r="C12" s="41"/>
      <c r="D12" s="42"/>
      <c r="E12" s="42"/>
      <c r="F12" s="43"/>
    </row>
    <row r="13" spans="2:6" x14ac:dyDescent="0.2">
      <c r="B13" s="41"/>
      <c r="C13" s="41"/>
      <c r="D13" s="42"/>
      <c r="E13" s="42"/>
      <c r="F13" s="43"/>
    </row>
    <row r="14" spans="2:6" x14ac:dyDescent="0.2">
      <c r="B14" s="41" t="s">
        <v>135</v>
      </c>
      <c r="C14" s="41"/>
      <c r="D14" s="42" t="s">
        <v>136</v>
      </c>
      <c r="E14" s="42"/>
      <c r="F14" s="43">
        <v>35258</v>
      </c>
    </row>
    <row r="15" spans="2:6" x14ac:dyDescent="0.2">
      <c r="B15" s="41" t="s">
        <v>183</v>
      </c>
      <c r="C15" s="41"/>
      <c r="D15" s="42" t="s">
        <v>136</v>
      </c>
      <c r="E15" s="42"/>
      <c r="F15" s="43">
        <v>12430</v>
      </c>
    </row>
    <row r="16" spans="2:6" ht="15.75" thickBot="1" x14ac:dyDescent="0.25">
      <c r="B16" s="41"/>
      <c r="C16" s="41"/>
      <c r="D16" s="42" t="s">
        <v>290</v>
      </c>
      <c r="E16" s="42"/>
      <c r="F16" s="53">
        <f>SUM(F14:F15)</f>
        <v>47688</v>
      </c>
    </row>
    <row r="17" spans="2:6" ht="15.75" thickTop="1" x14ac:dyDescent="0.2">
      <c r="B17" s="41"/>
      <c r="C17" s="41"/>
      <c r="D17" s="42"/>
      <c r="E17" s="42"/>
      <c r="F17" s="43"/>
    </row>
    <row r="18" spans="2:6" x14ac:dyDescent="0.2">
      <c r="B18" s="41"/>
      <c r="C18" s="41"/>
      <c r="D18" s="42"/>
      <c r="E18" s="42"/>
      <c r="F18" s="43"/>
    </row>
    <row r="19" spans="2:6" x14ac:dyDescent="0.2">
      <c r="B19" s="41" t="s">
        <v>137</v>
      </c>
      <c r="C19" s="41"/>
      <c r="D19" s="42" t="s">
        <v>138</v>
      </c>
      <c r="E19" s="42"/>
      <c r="F19" s="43">
        <v>30468</v>
      </c>
    </row>
    <row r="20" spans="2:6" x14ac:dyDescent="0.2">
      <c r="B20" s="41" t="s">
        <v>184</v>
      </c>
      <c r="C20" s="41"/>
      <c r="D20" s="42" t="s">
        <v>138</v>
      </c>
      <c r="E20" s="42"/>
      <c r="F20" s="43">
        <v>7337</v>
      </c>
    </row>
    <row r="21" spans="2:6" ht="15.75" thickBot="1" x14ac:dyDescent="0.25">
      <c r="B21" s="41"/>
      <c r="C21" s="41"/>
      <c r="D21" s="42" t="s">
        <v>291</v>
      </c>
      <c r="E21" s="42"/>
      <c r="F21" s="53">
        <f>SUM(F19:F20)</f>
        <v>37805</v>
      </c>
    </row>
    <row r="22" spans="2:6" ht="15.75" thickTop="1" x14ac:dyDescent="0.2">
      <c r="B22" s="41"/>
      <c r="C22" s="41"/>
      <c r="D22" s="42"/>
      <c r="E22" s="42"/>
      <c r="F22" s="43"/>
    </row>
    <row r="23" spans="2:6" x14ac:dyDescent="0.2">
      <c r="B23" s="41"/>
      <c r="C23" s="41"/>
      <c r="D23" s="42"/>
      <c r="E23" s="42"/>
      <c r="F23" s="43"/>
    </row>
    <row r="24" spans="2:6" x14ac:dyDescent="0.2">
      <c r="B24" s="41" t="s">
        <v>139</v>
      </c>
      <c r="C24" s="41"/>
      <c r="D24" s="42" t="s">
        <v>140</v>
      </c>
      <c r="E24" s="42"/>
      <c r="F24" s="43">
        <v>11208</v>
      </c>
    </row>
    <row r="25" spans="2:6" x14ac:dyDescent="0.2">
      <c r="B25" s="41" t="s">
        <v>185</v>
      </c>
      <c r="C25" s="41"/>
      <c r="D25" s="42" t="s">
        <v>140</v>
      </c>
      <c r="E25" s="42"/>
      <c r="F25" s="43">
        <v>8006</v>
      </c>
    </row>
    <row r="26" spans="2:6" ht="15.75" thickBot="1" x14ac:dyDescent="0.25">
      <c r="B26" s="41"/>
      <c r="C26" s="41"/>
      <c r="D26" s="42" t="s">
        <v>292</v>
      </c>
      <c r="E26" s="42"/>
      <c r="F26" s="53">
        <f>SUM(F24:F25)</f>
        <v>19214</v>
      </c>
    </row>
    <row r="27" spans="2:6" ht="15.75" thickTop="1" x14ac:dyDescent="0.2">
      <c r="B27" s="41"/>
      <c r="C27" s="41"/>
      <c r="D27" s="42"/>
      <c r="E27" s="42"/>
      <c r="F27" s="43"/>
    </row>
    <row r="28" spans="2:6" x14ac:dyDescent="0.2">
      <c r="B28" s="41"/>
      <c r="C28" s="41"/>
      <c r="D28" s="42"/>
      <c r="E28" s="42"/>
      <c r="F28" s="43"/>
    </row>
    <row r="29" spans="2:6" x14ac:dyDescent="0.2">
      <c r="B29" s="41" t="s">
        <v>141</v>
      </c>
      <c r="C29" s="41"/>
      <c r="D29" s="42" t="s">
        <v>142</v>
      </c>
      <c r="E29" s="42"/>
      <c r="F29" s="43">
        <v>4915</v>
      </c>
    </row>
    <row r="30" spans="2:6" x14ac:dyDescent="0.2">
      <c r="B30" s="41" t="s">
        <v>186</v>
      </c>
      <c r="C30" s="41"/>
      <c r="D30" s="42" t="s">
        <v>142</v>
      </c>
      <c r="E30" s="42"/>
      <c r="F30" s="43">
        <v>3847</v>
      </c>
    </row>
    <row r="31" spans="2:6" ht="15.75" thickBot="1" x14ac:dyDescent="0.25">
      <c r="B31" s="41"/>
      <c r="C31" s="41"/>
      <c r="D31" s="42" t="s">
        <v>293</v>
      </c>
      <c r="E31" s="42"/>
      <c r="F31" s="53">
        <f>SUM(F29:F30)</f>
        <v>8762</v>
      </c>
    </row>
    <row r="32" spans="2:6" ht="15.75" thickTop="1" x14ac:dyDescent="0.2">
      <c r="B32" s="41"/>
      <c r="C32" s="41"/>
      <c r="D32" s="42"/>
      <c r="E32" s="42"/>
      <c r="F32" s="43"/>
    </row>
    <row r="33" spans="2:6" x14ac:dyDescent="0.2">
      <c r="B33" s="41"/>
      <c r="C33" s="41"/>
      <c r="D33" s="42"/>
      <c r="E33" s="42"/>
      <c r="F33" s="43"/>
    </row>
    <row r="34" spans="2:6" x14ac:dyDescent="0.2">
      <c r="B34" s="41" t="s">
        <v>143</v>
      </c>
      <c r="C34" s="41"/>
      <c r="D34" s="42" t="s">
        <v>144</v>
      </c>
      <c r="E34" s="42"/>
      <c r="F34" s="43">
        <v>79</v>
      </c>
    </row>
    <row r="35" spans="2:6" x14ac:dyDescent="0.2">
      <c r="B35" s="41" t="s">
        <v>187</v>
      </c>
      <c r="C35" s="41"/>
      <c r="D35" s="42" t="s">
        <v>144</v>
      </c>
      <c r="E35" s="42"/>
      <c r="F35" s="43">
        <v>64</v>
      </c>
    </row>
    <row r="36" spans="2:6" ht="15.75" thickBot="1" x14ac:dyDescent="0.25">
      <c r="B36" s="48"/>
      <c r="C36" s="48"/>
      <c r="D36" s="31" t="s">
        <v>294</v>
      </c>
      <c r="E36" s="31"/>
      <c r="F36" s="53">
        <f>SUM(F34:F35)</f>
        <v>143</v>
      </c>
    </row>
    <row r="37" spans="2:6" ht="15.75" thickTop="1" x14ac:dyDescent="0.2">
      <c r="B37" s="48"/>
      <c r="C37" s="48"/>
      <c r="F37" s="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D67F3-2063-43C7-A2F8-3353355D5ABF}">
  <dimension ref="A1:L30"/>
  <sheetViews>
    <sheetView workbookViewId="0">
      <selection activeCell="D15" activeCellId="4" sqref="B13 D13 E13 F13 D15"/>
    </sheetView>
  </sheetViews>
  <sheetFormatPr defaultColWidth="8.88671875" defaultRowHeight="15" x14ac:dyDescent="0.2"/>
  <cols>
    <col min="1" max="1" width="16.109375" style="31" customWidth="1"/>
    <col min="2" max="2" width="12.44140625" style="31" customWidth="1"/>
    <col min="3" max="3" width="9" style="49" customWidth="1"/>
    <col min="4" max="4" width="15.77734375" style="31" customWidth="1"/>
    <col min="5" max="5" width="18.109375" style="49" customWidth="1"/>
    <col min="6" max="6" width="15.77734375" style="31" customWidth="1"/>
    <col min="7" max="7" width="18.109375" style="49" customWidth="1"/>
    <col min="8" max="12" width="14.77734375" style="31" customWidth="1"/>
    <col min="13" max="16384" width="8.88671875" style="31"/>
  </cols>
  <sheetData>
    <row r="1" spans="1:12" x14ac:dyDescent="0.2">
      <c r="A1" s="339" t="s">
        <v>429</v>
      </c>
      <c r="B1" s="339"/>
      <c r="C1" s="339"/>
      <c r="D1" s="339"/>
      <c r="E1" s="339"/>
      <c r="F1" s="339"/>
      <c r="G1" s="147"/>
      <c r="H1" s="49"/>
      <c r="I1" s="49"/>
      <c r="J1" s="49"/>
      <c r="K1" s="56" t="s">
        <v>99</v>
      </c>
      <c r="L1" s="49"/>
    </row>
    <row r="2" spans="1:12" x14ac:dyDescent="0.2">
      <c r="A2" s="147" t="s">
        <v>276</v>
      </c>
      <c r="B2" s="151" t="s">
        <v>277</v>
      </c>
      <c r="C2" s="152" t="s">
        <v>278</v>
      </c>
      <c r="D2" s="151" t="s">
        <v>279</v>
      </c>
      <c r="E2" s="151" t="s">
        <v>305</v>
      </c>
      <c r="F2" s="151" t="s">
        <v>279</v>
      </c>
      <c r="G2" s="45" t="s">
        <v>280</v>
      </c>
      <c r="H2" s="55" t="s">
        <v>219</v>
      </c>
      <c r="I2" s="55" t="s">
        <v>220</v>
      </c>
      <c r="J2" s="55" t="s">
        <v>82</v>
      </c>
      <c r="K2" s="55" t="s">
        <v>83</v>
      </c>
      <c r="L2" s="49"/>
    </row>
    <row r="3" spans="1:12" x14ac:dyDescent="0.2">
      <c r="A3" s="147" t="s">
        <v>433</v>
      </c>
      <c r="B3" s="151">
        <v>41600</v>
      </c>
      <c r="C3" s="152">
        <v>0.33</v>
      </c>
      <c r="D3" s="151">
        <f>ROUND(B3*C3,2)</f>
        <v>13728</v>
      </c>
      <c r="E3" s="151">
        <v>13523.64</v>
      </c>
      <c r="F3" s="151">
        <v>4462.8011999999999</v>
      </c>
      <c r="G3" s="31" t="s">
        <v>22</v>
      </c>
      <c r="H3" s="49"/>
      <c r="I3" s="49">
        <f>D3</f>
        <v>13728</v>
      </c>
      <c r="J3" s="49"/>
      <c r="K3" s="49"/>
      <c r="L3" s="49">
        <f>SUM(H3:K3)</f>
        <v>13728</v>
      </c>
    </row>
    <row r="4" spans="1:12" x14ac:dyDescent="0.2">
      <c r="A4" s="147" t="s">
        <v>434</v>
      </c>
      <c r="B4" s="153">
        <v>38438.400000000001</v>
      </c>
      <c r="C4" s="152">
        <v>1</v>
      </c>
      <c r="D4" s="153">
        <f t="shared" ref="D4:D12" si="0">ROUND(B4*C4,2)</f>
        <v>38438.400000000001</v>
      </c>
      <c r="E4" s="153">
        <v>24810.240000000002</v>
      </c>
      <c r="F4" s="153">
        <v>24810.240000000002</v>
      </c>
      <c r="G4" s="31" t="s">
        <v>66</v>
      </c>
      <c r="H4" s="49">
        <f>D4</f>
        <v>38438.400000000001</v>
      </c>
      <c r="I4" s="49"/>
      <c r="J4" s="49"/>
      <c r="K4" s="49"/>
      <c r="L4" s="49">
        <f>SUM(H4:K4)</f>
        <v>38438.400000000001</v>
      </c>
    </row>
    <row r="5" spans="1:12" x14ac:dyDescent="0.2">
      <c r="A5" s="147" t="s">
        <v>435</v>
      </c>
      <c r="B5" s="153">
        <v>47590.400000000001</v>
      </c>
      <c r="C5" s="152">
        <v>0.5</v>
      </c>
      <c r="D5" s="153">
        <f t="shared" si="0"/>
        <v>23795.200000000001</v>
      </c>
      <c r="E5" s="153">
        <v>13528.44</v>
      </c>
      <c r="F5" s="153">
        <v>6764.22</v>
      </c>
      <c r="G5" s="147" t="str">
        <f>'Emp Sal Adj'!K9</f>
        <v>Administrative</v>
      </c>
      <c r="H5" s="49"/>
      <c r="I5" s="49"/>
      <c r="J5" s="49"/>
      <c r="K5" s="49">
        <f>D5</f>
        <v>23795.200000000001</v>
      </c>
      <c r="L5" s="49">
        <f t="shared" ref="L5" si="1">SUM(H5:K5)</f>
        <v>23795.200000000001</v>
      </c>
    </row>
    <row r="6" spans="1:12" x14ac:dyDescent="0.2">
      <c r="A6" s="147" t="s">
        <v>436</v>
      </c>
      <c r="B6" s="153">
        <v>72950</v>
      </c>
      <c r="C6" s="152">
        <v>0.5</v>
      </c>
      <c r="D6" s="153">
        <f t="shared" si="0"/>
        <v>36475</v>
      </c>
      <c r="E6" s="153">
        <v>13513.8</v>
      </c>
      <c r="F6" s="153">
        <v>6756.9</v>
      </c>
      <c r="G6" s="147" t="str">
        <f>'Emp Sal Adj'!K10</f>
        <v>Treatment</v>
      </c>
      <c r="H6" s="49">
        <f>D6</f>
        <v>36475</v>
      </c>
      <c r="I6" s="49"/>
      <c r="J6" s="49"/>
      <c r="K6" s="49"/>
      <c r="L6" s="49">
        <f t="shared" ref="L6:L12" si="2">SUM(H6:K6)</f>
        <v>36475</v>
      </c>
    </row>
    <row r="7" spans="1:12" x14ac:dyDescent="0.2">
      <c r="A7" s="147" t="s">
        <v>437</v>
      </c>
      <c r="B7" s="153">
        <v>54080</v>
      </c>
      <c r="C7" s="152">
        <v>1</v>
      </c>
      <c r="D7" s="153">
        <f t="shared" si="0"/>
        <v>54080</v>
      </c>
      <c r="E7" s="153">
        <v>13523.64</v>
      </c>
      <c r="F7" s="153">
        <v>13523.64</v>
      </c>
      <c r="G7" s="147" t="str">
        <f>'Emp Sal Adj'!K11</f>
        <v>Treatment</v>
      </c>
      <c r="H7" s="49">
        <f>D7</f>
        <v>54080</v>
      </c>
      <c r="I7" s="49"/>
      <c r="J7" s="49"/>
      <c r="K7" s="49"/>
      <c r="L7" s="49">
        <f t="shared" si="2"/>
        <v>54080</v>
      </c>
    </row>
    <row r="8" spans="1:12" x14ac:dyDescent="0.2">
      <c r="A8" s="147" t="s">
        <v>438</v>
      </c>
      <c r="B8" s="153">
        <v>41600</v>
      </c>
      <c r="C8" s="152">
        <v>0.35</v>
      </c>
      <c r="D8" s="153">
        <f t="shared" si="0"/>
        <v>14560</v>
      </c>
      <c r="E8" s="153">
        <v>13439.4</v>
      </c>
      <c r="F8" s="153">
        <v>4703.79</v>
      </c>
      <c r="G8" s="147" t="str">
        <f>'Emp Sal Adj'!K12</f>
        <v>Distribution</v>
      </c>
      <c r="H8" s="49"/>
      <c r="I8" s="49">
        <f>D8-J8</f>
        <v>4196</v>
      </c>
      <c r="J8" s="49">
        <f>ROUND(D10*57.58%,0)</f>
        <v>10364</v>
      </c>
      <c r="K8" s="49"/>
      <c r="L8" s="49">
        <f t="shared" si="2"/>
        <v>14560</v>
      </c>
    </row>
    <row r="9" spans="1:12" x14ac:dyDescent="0.2">
      <c r="A9" s="147" t="s">
        <v>439</v>
      </c>
      <c r="B9" s="153">
        <v>40601.599999999999</v>
      </c>
      <c r="C9" s="152">
        <v>0.25</v>
      </c>
      <c r="D9" s="153">
        <f t="shared" si="0"/>
        <v>10150.4</v>
      </c>
      <c r="E9" s="153">
        <v>13569.12</v>
      </c>
      <c r="F9" s="153">
        <v>3392.28</v>
      </c>
      <c r="G9" s="147" t="str">
        <f>'Emp Sal Adj'!K13</f>
        <v>Distribution</v>
      </c>
      <c r="H9" s="49"/>
      <c r="I9" s="49">
        <f>D9</f>
        <v>10150.4</v>
      </c>
      <c r="J9" s="49"/>
      <c r="K9" s="49"/>
      <c r="L9" s="49">
        <f t="shared" si="2"/>
        <v>10150.4</v>
      </c>
    </row>
    <row r="10" spans="1:12" x14ac:dyDescent="0.2">
      <c r="A10" s="147" t="s">
        <v>440</v>
      </c>
      <c r="B10" s="153">
        <v>72000</v>
      </c>
      <c r="C10" s="152">
        <v>0.25</v>
      </c>
      <c r="D10" s="153">
        <f t="shared" si="0"/>
        <v>18000</v>
      </c>
      <c r="E10" s="153">
        <v>0</v>
      </c>
      <c r="F10" s="153">
        <v>0</v>
      </c>
      <c r="G10" s="147" t="s">
        <v>99</v>
      </c>
      <c r="H10" s="49"/>
      <c r="I10" s="49">
        <f>D10</f>
        <v>18000</v>
      </c>
      <c r="J10" s="49"/>
      <c r="K10" s="49"/>
      <c r="L10" s="49">
        <f t="shared" si="2"/>
        <v>18000</v>
      </c>
    </row>
    <row r="11" spans="1:12" x14ac:dyDescent="0.2">
      <c r="A11" s="147" t="s">
        <v>441</v>
      </c>
      <c r="B11" s="153">
        <v>46800</v>
      </c>
      <c r="C11" s="152">
        <v>0.25</v>
      </c>
      <c r="D11" s="153">
        <f t="shared" si="0"/>
        <v>11700</v>
      </c>
      <c r="E11" s="153">
        <v>13523.64</v>
      </c>
      <c r="F11" s="153">
        <v>3380.91</v>
      </c>
      <c r="G11" s="147" t="str">
        <f>'Emp Sal Adj'!K16</f>
        <v>Distribution</v>
      </c>
      <c r="H11" s="49"/>
      <c r="I11" s="49"/>
      <c r="J11" s="49"/>
      <c r="K11" s="49">
        <f>D11</f>
        <v>11700</v>
      </c>
      <c r="L11" s="49">
        <f t="shared" si="2"/>
        <v>11700</v>
      </c>
    </row>
    <row r="12" spans="1:12" x14ac:dyDescent="0.2">
      <c r="A12" s="147" t="s">
        <v>442</v>
      </c>
      <c r="B12" s="153">
        <v>63280</v>
      </c>
      <c r="C12" s="152">
        <v>0.25</v>
      </c>
      <c r="D12" s="188">
        <f t="shared" si="0"/>
        <v>15820</v>
      </c>
      <c r="E12" s="153">
        <v>13511.4</v>
      </c>
      <c r="F12" s="153">
        <v>3377.85</v>
      </c>
      <c r="G12" s="147" t="str">
        <f>'Emp Sal Adj'!K17</f>
        <v>Distribution</v>
      </c>
      <c r="H12" s="49"/>
      <c r="I12" s="49">
        <f>D12-J12</f>
        <v>3955</v>
      </c>
      <c r="J12" s="49">
        <f>ROUND(D12*75%,0)</f>
        <v>11865</v>
      </c>
      <c r="K12" s="49"/>
      <c r="L12" s="49">
        <f t="shared" si="2"/>
        <v>15820</v>
      </c>
    </row>
    <row r="13" spans="1:12" ht="16.5" thickBot="1" x14ac:dyDescent="0.3">
      <c r="A13" s="147"/>
      <c r="B13" s="189">
        <f>SUM(B3:B12)</f>
        <v>518940.39999999997</v>
      </c>
      <c r="C13" s="155"/>
      <c r="D13" s="189">
        <f>SUM(D3:D12)</f>
        <v>236747</v>
      </c>
      <c r="E13" s="189">
        <v>132943.32</v>
      </c>
      <c r="F13" s="189">
        <v>71172.631200000003</v>
      </c>
      <c r="G13" s="147"/>
      <c r="H13" s="49"/>
      <c r="I13" s="49"/>
      <c r="J13" s="49"/>
      <c r="K13" s="49"/>
      <c r="L13" s="49"/>
    </row>
    <row r="14" spans="1:12" ht="16.5" thickTop="1" thickBot="1" x14ac:dyDescent="0.25">
      <c r="A14" s="147"/>
      <c r="B14" s="147"/>
      <c r="C14" s="147"/>
      <c r="D14" s="147">
        <f>-'Trial Balance'!G8-'Trial Balance'!I8</f>
        <v>-232250</v>
      </c>
      <c r="E14" s="147"/>
      <c r="F14" s="147"/>
      <c r="G14" s="147"/>
      <c r="H14" s="148">
        <f>SUM(H3:H13)</f>
        <v>128993.4</v>
      </c>
      <c r="I14" s="148">
        <f>SUM(I3:I13)</f>
        <v>50029.4</v>
      </c>
      <c r="J14" s="148">
        <f>SUM(J3:J13)</f>
        <v>22229</v>
      </c>
      <c r="K14" s="148">
        <f>SUM(K3:K13)</f>
        <v>35495.199999999997</v>
      </c>
      <c r="L14" s="148">
        <f>SUM(L3:L13)</f>
        <v>236747</v>
      </c>
    </row>
    <row r="15" spans="1:12" ht="16.5" thickTop="1" thickBot="1" x14ac:dyDescent="0.25">
      <c r="A15" s="150"/>
      <c r="B15" s="150"/>
      <c r="C15" s="150"/>
      <c r="D15" s="190">
        <f>SUM(D13:D14)</f>
        <v>4497</v>
      </c>
      <c r="E15" s="150"/>
      <c r="F15" s="150"/>
      <c r="G15" s="147"/>
      <c r="H15" s="149">
        <f>ROUND(H14/$L14,5)</f>
        <v>0.54486000000000001</v>
      </c>
      <c r="I15" s="149">
        <f t="shared" ref="I15:K15" si="3">ROUND(I14/$L14,5)</f>
        <v>0.21132000000000001</v>
      </c>
      <c r="J15" s="149">
        <f t="shared" si="3"/>
        <v>9.3890000000000001E-2</v>
      </c>
      <c r="K15" s="149">
        <f t="shared" si="3"/>
        <v>0.14993000000000001</v>
      </c>
      <c r="L15" s="149">
        <f>SUM(H15:K15)</f>
        <v>1</v>
      </c>
    </row>
    <row r="16" spans="1:12" ht="15.75" thickTop="1" x14ac:dyDescent="0.2">
      <c r="A16" s="147"/>
      <c r="B16" s="147"/>
      <c r="C16" s="147"/>
      <c r="D16" s="147"/>
      <c r="E16" s="147"/>
      <c r="F16" s="147"/>
      <c r="G16" s="147"/>
    </row>
    <row r="17" spans="1:7" x14ac:dyDescent="0.2">
      <c r="A17" s="147"/>
      <c r="B17" s="147"/>
      <c r="C17" s="147"/>
      <c r="D17" s="147"/>
      <c r="E17" s="147"/>
      <c r="F17" s="147"/>
      <c r="G17" s="147"/>
    </row>
    <row r="18" spans="1:7" x14ac:dyDescent="0.2">
      <c r="A18" s="147"/>
      <c r="B18" s="147"/>
      <c r="C18" s="147"/>
      <c r="D18" s="147"/>
      <c r="E18" s="147"/>
      <c r="F18" s="147"/>
      <c r="G18" s="147"/>
    </row>
    <row r="19" spans="1:7" x14ac:dyDescent="0.2">
      <c r="A19" s="147" t="s">
        <v>429</v>
      </c>
      <c r="B19" s="147"/>
      <c r="C19" s="147"/>
      <c r="D19" s="147"/>
      <c r="E19" s="147"/>
      <c r="F19" s="147"/>
      <c r="G19" s="147"/>
    </row>
    <row r="20" spans="1:7" x14ac:dyDescent="0.2">
      <c r="A20" s="147"/>
      <c r="B20" s="147"/>
      <c r="C20" s="147"/>
      <c r="D20" s="147"/>
      <c r="E20" s="147"/>
      <c r="F20" s="147"/>
      <c r="G20" s="147"/>
    </row>
    <row r="21" spans="1:7" x14ac:dyDescent="0.2">
      <c r="A21" s="147"/>
      <c r="B21" s="147"/>
      <c r="C21" s="147"/>
      <c r="D21" s="147"/>
      <c r="E21" s="147"/>
      <c r="F21" s="147"/>
      <c r="G21" s="147"/>
    </row>
    <row r="22" spans="1:7" x14ac:dyDescent="0.2">
      <c r="A22" s="147"/>
      <c r="B22" s="147"/>
      <c r="C22" s="147"/>
      <c r="D22" s="147"/>
      <c r="E22" s="147"/>
      <c r="F22" s="147"/>
      <c r="G22" s="147"/>
    </row>
    <row r="23" spans="1:7" x14ac:dyDescent="0.2">
      <c r="A23" s="147"/>
      <c r="B23" s="147"/>
      <c r="C23" s="147"/>
      <c r="D23" s="147"/>
      <c r="E23" s="147"/>
      <c r="F23" s="147"/>
      <c r="G23" s="147"/>
    </row>
    <row r="24" spans="1:7" x14ac:dyDescent="0.2">
      <c r="A24" s="147"/>
      <c r="B24" s="147"/>
      <c r="C24" s="147"/>
      <c r="D24" s="147"/>
      <c r="E24" s="147"/>
      <c r="F24" s="147"/>
      <c r="G24" s="147"/>
    </row>
    <row r="25" spans="1:7" x14ac:dyDescent="0.2">
      <c r="A25" s="147"/>
      <c r="B25" s="147"/>
      <c r="C25" s="147"/>
      <c r="D25" s="147"/>
      <c r="E25" s="147"/>
      <c r="F25" s="147"/>
      <c r="G25" s="147"/>
    </row>
    <row r="26" spans="1:7" x14ac:dyDescent="0.2">
      <c r="B26" s="41"/>
    </row>
    <row r="27" spans="1:7" x14ac:dyDescent="0.2">
      <c r="B27" s="41"/>
    </row>
    <row r="28" spans="1:7" x14ac:dyDescent="0.2">
      <c r="B28" s="41"/>
    </row>
    <row r="29" spans="1:7" x14ac:dyDescent="0.2">
      <c r="B29" s="41"/>
    </row>
    <row r="30" spans="1:7" x14ac:dyDescent="0.2">
      <c r="B30" s="41"/>
    </row>
  </sheetData>
  <mergeCells count="1">
    <mergeCell ref="A1:F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5245A-255C-4F02-BDBB-E041CE1E980D}">
  <dimension ref="A1:G31"/>
  <sheetViews>
    <sheetView topLeftCell="B1" workbookViewId="0">
      <selection activeCell="F15" activeCellId="3" sqref="B13 C13 D13 F15"/>
    </sheetView>
  </sheetViews>
  <sheetFormatPr defaultColWidth="8.88671875" defaultRowHeight="15" x14ac:dyDescent="0.2"/>
  <cols>
    <col min="1" max="1" width="16.109375" style="31" customWidth="1"/>
    <col min="2" max="4" width="15.77734375" style="31" customWidth="1"/>
    <col min="5" max="5" width="9" style="49" customWidth="1"/>
    <col min="6" max="6" width="15.77734375" style="31" customWidth="1"/>
    <col min="7" max="7" width="18.109375" style="49" customWidth="1"/>
    <col min="8" max="16384" width="8.88671875" style="31"/>
  </cols>
  <sheetData>
    <row r="1" spans="1:7" x14ac:dyDescent="0.2">
      <c r="A1" s="339" t="s">
        <v>429</v>
      </c>
      <c r="B1" s="339"/>
      <c r="C1" s="339"/>
      <c r="D1" s="339"/>
      <c r="E1" s="339"/>
      <c r="F1" s="339"/>
      <c r="G1" s="147"/>
    </row>
    <row r="2" spans="1:7" x14ac:dyDescent="0.2">
      <c r="A2" s="147" t="s">
        <v>276</v>
      </c>
      <c r="B2" s="151" t="s">
        <v>430</v>
      </c>
      <c r="C2" s="156">
        <v>0.04</v>
      </c>
      <c r="D2" s="151"/>
      <c r="E2" s="152" t="s">
        <v>278</v>
      </c>
      <c r="F2" s="151" t="s">
        <v>279</v>
      </c>
      <c r="G2" s="45" t="s">
        <v>280</v>
      </c>
    </row>
    <row r="3" spans="1:7" x14ac:dyDescent="0.2">
      <c r="A3" s="147" t="s">
        <v>409</v>
      </c>
      <c r="B3" s="151">
        <v>13523.64</v>
      </c>
      <c r="C3" s="151">
        <f>ROUND(C$2*B3,2)</f>
        <v>540.95000000000005</v>
      </c>
      <c r="D3" s="151">
        <f>SUM(B3,C3)</f>
        <v>14064.59</v>
      </c>
      <c r="E3" s="152">
        <v>0.33</v>
      </c>
      <c r="F3" s="151">
        <f>ROUND(D3*E3,2)</f>
        <v>4641.3100000000004</v>
      </c>
      <c r="G3" s="31" t="s">
        <v>22</v>
      </c>
    </row>
    <row r="4" spans="1:7" x14ac:dyDescent="0.2">
      <c r="A4" s="147" t="s">
        <v>410</v>
      </c>
      <c r="B4" s="153">
        <v>24810.240000000002</v>
      </c>
      <c r="C4" s="153">
        <f t="shared" ref="C4:C12" si="0">ROUND(C$2*B4,2)</f>
        <v>992.41</v>
      </c>
      <c r="D4" s="153">
        <f t="shared" ref="D4:D12" si="1">SUM(B4,C4)</f>
        <v>25802.65</v>
      </c>
      <c r="E4" s="152">
        <v>1</v>
      </c>
      <c r="F4" s="153">
        <f t="shared" ref="F4:F12" si="2">ROUND(D4*E4,2)</f>
        <v>25802.65</v>
      </c>
      <c r="G4" s="31" t="s">
        <v>66</v>
      </c>
    </row>
    <row r="5" spans="1:7" x14ac:dyDescent="0.2">
      <c r="A5" s="147" t="s">
        <v>411</v>
      </c>
      <c r="B5" s="153">
        <v>13528.44</v>
      </c>
      <c r="C5" s="153">
        <f t="shared" si="0"/>
        <v>541.14</v>
      </c>
      <c r="D5" s="153">
        <f t="shared" si="1"/>
        <v>14069.58</v>
      </c>
      <c r="E5" s="152">
        <v>0.5</v>
      </c>
      <c r="F5" s="153">
        <f t="shared" si="2"/>
        <v>7034.79</v>
      </c>
      <c r="G5" s="147" t="str">
        <f>'Emp Sal Adj'!K9</f>
        <v>Administrative</v>
      </c>
    </row>
    <row r="6" spans="1:7" x14ac:dyDescent="0.2">
      <c r="A6" s="147" t="s">
        <v>412</v>
      </c>
      <c r="B6" s="153">
        <v>13513.8</v>
      </c>
      <c r="C6" s="153">
        <f t="shared" si="0"/>
        <v>540.54999999999995</v>
      </c>
      <c r="D6" s="153">
        <f t="shared" si="1"/>
        <v>14054.349999999999</v>
      </c>
      <c r="E6" s="152">
        <v>0.5</v>
      </c>
      <c r="F6" s="153">
        <f t="shared" si="2"/>
        <v>7027.18</v>
      </c>
      <c r="G6" s="147" t="str">
        <f>'Emp Sal Adj'!K10</f>
        <v>Treatment</v>
      </c>
    </row>
    <row r="7" spans="1:7" x14ac:dyDescent="0.2">
      <c r="A7" s="147" t="s">
        <v>413</v>
      </c>
      <c r="B7" s="153">
        <v>13523.64</v>
      </c>
      <c r="C7" s="153">
        <f t="shared" si="0"/>
        <v>540.95000000000005</v>
      </c>
      <c r="D7" s="153">
        <f t="shared" si="1"/>
        <v>14064.59</v>
      </c>
      <c r="E7" s="152">
        <v>1</v>
      </c>
      <c r="F7" s="153">
        <f t="shared" si="2"/>
        <v>14064.59</v>
      </c>
      <c r="G7" s="147" t="str">
        <f>'Emp Sal Adj'!K11</f>
        <v>Treatment</v>
      </c>
    </row>
    <row r="8" spans="1:7" x14ac:dyDescent="0.2">
      <c r="A8" s="147" t="s">
        <v>414</v>
      </c>
      <c r="B8" s="153">
        <v>13439.4</v>
      </c>
      <c r="C8" s="153">
        <f t="shared" si="0"/>
        <v>537.58000000000004</v>
      </c>
      <c r="D8" s="153">
        <f t="shared" si="1"/>
        <v>13976.98</v>
      </c>
      <c r="E8" s="152">
        <v>0.35</v>
      </c>
      <c r="F8" s="153">
        <f t="shared" si="2"/>
        <v>4891.9399999999996</v>
      </c>
      <c r="G8" s="147" t="str">
        <f>'Emp Sal Adj'!K12</f>
        <v>Distribution</v>
      </c>
    </row>
    <row r="9" spans="1:7" x14ac:dyDescent="0.2">
      <c r="A9" s="147" t="s">
        <v>415</v>
      </c>
      <c r="B9" s="153">
        <v>13569.12</v>
      </c>
      <c r="C9" s="153">
        <f t="shared" si="0"/>
        <v>542.76</v>
      </c>
      <c r="D9" s="153">
        <f t="shared" si="1"/>
        <v>14111.880000000001</v>
      </c>
      <c r="E9" s="152">
        <v>0.25</v>
      </c>
      <c r="F9" s="153">
        <f t="shared" si="2"/>
        <v>3527.97</v>
      </c>
      <c r="G9" s="147" t="str">
        <f>'Emp Sal Adj'!K13</f>
        <v>Distribution</v>
      </c>
    </row>
    <row r="10" spans="1:7" x14ac:dyDescent="0.2">
      <c r="A10" s="147" t="s">
        <v>275</v>
      </c>
      <c r="B10" s="153">
        <v>0</v>
      </c>
      <c r="C10" s="153">
        <f t="shared" si="0"/>
        <v>0</v>
      </c>
      <c r="D10" s="153">
        <f t="shared" si="1"/>
        <v>0</v>
      </c>
      <c r="E10" s="152">
        <v>0.25</v>
      </c>
      <c r="F10" s="153">
        <f t="shared" si="2"/>
        <v>0</v>
      </c>
      <c r="G10" s="147" t="s">
        <v>99</v>
      </c>
    </row>
    <row r="11" spans="1:7" x14ac:dyDescent="0.2">
      <c r="A11" s="147" t="s">
        <v>416</v>
      </c>
      <c r="B11" s="153">
        <v>13523.64</v>
      </c>
      <c r="C11" s="153">
        <f t="shared" si="0"/>
        <v>540.95000000000005</v>
      </c>
      <c r="D11" s="153">
        <f t="shared" si="1"/>
        <v>14064.59</v>
      </c>
      <c r="E11" s="152">
        <v>0.25</v>
      </c>
      <c r="F11" s="153">
        <f t="shared" si="2"/>
        <v>3516.15</v>
      </c>
      <c r="G11" s="147" t="str">
        <f>'Emp Sal Adj'!K16</f>
        <v>Distribution</v>
      </c>
    </row>
    <row r="12" spans="1:7" x14ac:dyDescent="0.2">
      <c r="A12" s="147" t="s">
        <v>417</v>
      </c>
      <c r="B12" s="153">
        <v>13511.4</v>
      </c>
      <c r="C12" s="153">
        <f t="shared" si="0"/>
        <v>540.46</v>
      </c>
      <c r="D12" s="153">
        <f t="shared" si="1"/>
        <v>14051.86</v>
      </c>
      <c r="E12" s="152">
        <v>0.25</v>
      </c>
      <c r="F12" s="187">
        <f t="shared" si="2"/>
        <v>3512.97</v>
      </c>
      <c r="G12" s="147" t="str">
        <f>'Emp Sal Adj'!K17</f>
        <v>Distribution</v>
      </c>
    </row>
    <row r="13" spans="1:7" ht="16.5" thickBot="1" x14ac:dyDescent="0.3">
      <c r="A13" s="147"/>
      <c r="B13" s="189">
        <f>SUM(B3:B12)</f>
        <v>132943.32</v>
      </c>
      <c r="C13" s="189">
        <f t="shared" ref="C13:D13" si="3">SUM(C3:C12)</f>
        <v>5317.75</v>
      </c>
      <c r="D13" s="189">
        <f t="shared" si="3"/>
        <v>138261.07</v>
      </c>
      <c r="E13" s="155"/>
      <c r="F13" s="154">
        <f>SUM(F3:F12)</f>
        <v>74019.55</v>
      </c>
      <c r="G13" s="147"/>
    </row>
    <row r="14" spans="1:7" ht="15.75" thickTop="1" x14ac:dyDescent="0.2">
      <c r="A14" s="147"/>
      <c r="B14" s="147"/>
      <c r="C14" s="147"/>
      <c r="D14" s="147"/>
      <c r="E14" s="147"/>
      <c r="F14" s="153">
        <f>-'Trial Balance'!G13-'Trial Balance'!I13</f>
        <v>-37805</v>
      </c>
      <c r="G14" s="147"/>
    </row>
    <row r="15" spans="1:7" ht="15.75" thickBot="1" x14ac:dyDescent="0.25">
      <c r="A15" s="150"/>
      <c r="B15" s="150"/>
      <c r="C15" s="150"/>
      <c r="D15" s="150"/>
      <c r="E15" s="150"/>
      <c r="F15" s="190">
        <f>SUM(F13:F14)</f>
        <v>36214.550000000003</v>
      </c>
      <c r="G15" s="147"/>
    </row>
    <row r="16" spans="1:7" ht="15.75" thickTop="1" x14ac:dyDescent="0.2">
      <c r="A16" s="147"/>
      <c r="B16" s="147"/>
      <c r="C16" s="147"/>
      <c r="D16" s="147"/>
      <c r="E16" s="147"/>
      <c r="F16" s="147"/>
      <c r="G16" s="147"/>
    </row>
    <row r="17" spans="1:7" x14ac:dyDescent="0.2">
      <c r="A17" s="147"/>
      <c r="B17" s="147"/>
      <c r="C17" s="147"/>
      <c r="D17" s="147"/>
      <c r="E17" s="147"/>
      <c r="F17" s="147"/>
      <c r="G17" s="147"/>
    </row>
    <row r="18" spans="1:7" x14ac:dyDescent="0.2">
      <c r="A18" s="147"/>
      <c r="B18" s="147"/>
      <c r="C18" s="147"/>
      <c r="D18" s="147"/>
      <c r="E18" s="147"/>
      <c r="F18" s="147"/>
      <c r="G18" s="147"/>
    </row>
    <row r="19" spans="1:7" x14ac:dyDescent="0.2">
      <c r="A19" s="147"/>
      <c r="B19" s="147"/>
      <c r="C19" s="147"/>
      <c r="D19" s="147"/>
      <c r="E19" s="147"/>
      <c r="F19" s="147"/>
      <c r="G19" s="147"/>
    </row>
    <row r="20" spans="1:7" x14ac:dyDescent="0.2">
      <c r="A20" s="147"/>
      <c r="B20" s="147"/>
      <c r="C20" s="147"/>
      <c r="D20" s="147"/>
      <c r="E20" s="147"/>
      <c r="F20" s="147"/>
      <c r="G20" s="147"/>
    </row>
    <row r="21" spans="1:7" x14ac:dyDescent="0.2">
      <c r="A21" s="147"/>
      <c r="B21" s="147"/>
      <c r="C21" s="147"/>
      <c r="D21" s="147"/>
      <c r="E21" s="147"/>
      <c r="F21" s="147"/>
      <c r="G21" s="147"/>
    </row>
    <row r="22" spans="1:7" x14ac:dyDescent="0.2">
      <c r="A22" s="147"/>
      <c r="B22" s="147"/>
      <c r="C22" s="147"/>
      <c r="D22" s="147"/>
      <c r="E22" s="147"/>
      <c r="F22" s="147"/>
      <c r="G22" s="147"/>
    </row>
    <row r="23" spans="1:7" x14ac:dyDescent="0.2">
      <c r="A23" s="147"/>
      <c r="B23" s="147"/>
      <c r="C23" s="147"/>
      <c r="D23" s="147"/>
      <c r="E23" s="147"/>
      <c r="F23" s="147"/>
      <c r="G23" s="147"/>
    </row>
    <row r="24" spans="1:7" x14ac:dyDescent="0.2">
      <c r="A24" s="147"/>
      <c r="B24" s="147"/>
      <c r="C24" s="147"/>
      <c r="D24" s="147"/>
      <c r="E24" s="147"/>
      <c r="F24" s="147"/>
      <c r="G24" s="147"/>
    </row>
    <row r="25" spans="1:7" x14ac:dyDescent="0.2">
      <c r="A25" s="147"/>
      <c r="B25" s="147"/>
      <c r="C25" s="147"/>
      <c r="D25" s="147"/>
      <c r="E25" s="147"/>
      <c r="F25" s="147"/>
      <c r="G25" s="147"/>
    </row>
    <row r="26" spans="1:7" x14ac:dyDescent="0.2">
      <c r="A26" s="147"/>
      <c r="B26" s="147"/>
      <c r="C26" s="147"/>
      <c r="D26" s="147"/>
      <c r="E26" s="147"/>
      <c r="F26" s="147"/>
      <c r="G26" s="147"/>
    </row>
    <row r="27" spans="1:7" x14ac:dyDescent="0.2">
      <c r="B27" s="41"/>
      <c r="C27" s="41"/>
      <c r="D27" s="41"/>
    </row>
    <row r="28" spans="1:7" x14ac:dyDescent="0.2">
      <c r="B28" s="41"/>
      <c r="C28" s="41"/>
      <c r="D28" s="41"/>
    </row>
    <row r="29" spans="1:7" x14ac:dyDescent="0.2">
      <c r="B29" s="41"/>
      <c r="C29" s="41"/>
      <c r="D29" s="41"/>
    </row>
    <row r="30" spans="1:7" x14ac:dyDescent="0.2">
      <c r="B30" s="41"/>
      <c r="C30" s="41"/>
      <c r="D30" s="41"/>
    </row>
    <row r="31" spans="1:7" x14ac:dyDescent="0.2">
      <c r="B31" s="41"/>
      <c r="C31" s="41"/>
      <c r="D31" s="41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667C-13FA-4465-ABE1-0751B5F85003}">
  <dimension ref="A3:Q39"/>
  <sheetViews>
    <sheetView topLeftCell="D1" workbookViewId="0">
      <selection activeCell="D1" sqref="A1:XFD1048576"/>
    </sheetView>
  </sheetViews>
  <sheetFormatPr defaultColWidth="14.77734375" defaultRowHeight="15" x14ac:dyDescent="0.2"/>
  <cols>
    <col min="3" max="3" width="1.77734375" customWidth="1"/>
    <col min="4" max="4" width="14.77734375" style="47"/>
    <col min="5" max="5" width="1.77734375" style="47" customWidth="1"/>
    <col min="6" max="6" width="12.21875" style="48" customWidth="1"/>
    <col min="7" max="7" width="1.77734375" style="48" customWidth="1"/>
    <col min="8" max="8" width="14.77734375" style="47"/>
    <col min="9" max="9" width="1.77734375" style="48" customWidth="1"/>
    <col min="10" max="10" width="2" style="48" customWidth="1"/>
    <col min="11" max="11" width="29.6640625" customWidth="1"/>
    <col min="12" max="16" width="14.77734375" style="47"/>
  </cols>
  <sheetData>
    <row r="3" spans="1:16" x14ac:dyDescent="0.2">
      <c r="A3" s="337" t="s">
        <v>225</v>
      </c>
      <c r="B3" s="337"/>
      <c r="C3" s="337"/>
      <c r="D3" s="337"/>
      <c r="E3" s="337"/>
      <c r="F3" s="337"/>
      <c r="G3" s="337"/>
      <c r="H3" s="337"/>
      <c r="L3" s="49"/>
      <c r="M3" s="49"/>
      <c r="N3" s="49"/>
      <c r="O3" s="56" t="s">
        <v>99</v>
      </c>
    </row>
    <row r="4" spans="1:16" x14ac:dyDescent="0.2">
      <c r="A4" s="337" t="s">
        <v>276</v>
      </c>
      <c r="B4" s="340"/>
      <c r="C4" s="46"/>
      <c r="D4" s="52" t="s">
        <v>277</v>
      </c>
      <c r="E4" s="49"/>
      <c r="F4" s="51" t="s">
        <v>278</v>
      </c>
      <c r="G4" s="50"/>
      <c r="H4" s="52" t="s">
        <v>279</v>
      </c>
      <c r="I4" s="50"/>
      <c r="J4" s="50"/>
      <c r="K4" s="45" t="s">
        <v>280</v>
      </c>
      <c r="L4" s="55" t="s">
        <v>219</v>
      </c>
      <c r="M4" s="55" t="s">
        <v>220</v>
      </c>
      <c r="N4" s="55" t="s">
        <v>82</v>
      </c>
      <c r="O4" s="55" t="s">
        <v>83</v>
      </c>
    </row>
    <row r="5" spans="1:16" x14ac:dyDescent="0.2">
      <c r="A5" s="31" t="s">
        <v>253</v>
      </c>
      <c r="B5" s="31" t="s">
        <v>265</v>
      </c>
      <c r="C5" s="31"/>
      <c r="D5" s="47">
        <v>46436</v>
      </c>
      <c r="F5" s="48">
        <v>0.25</v>
      </c>
      <c r="H5" s="47">
        <f>ROUND(D5*F5,2)</f>
        <v>11609</v>
      </c>
      <c r="K5" s="31" t="s">
        <v>22</v>
      </c>
      <c r="M5" s="47">
        <f>H5</f>
        <v>11609</v>
      </c>
      <c r="P5" s="47">
        <f>SUM(L5:O5)</f>
        <v>11609</v>
      </c>
    </row>
    <row r="6" spans="1:16" x14ac:dyDescent="0.2">
      <c r="A6" s="31" t="s">
        <v>252</v>
      </c>
      <c r="B6" s="31" t="s">
        <v>264</v>
      </c>
      <c r="C6" s="31"/>
      <c r="D6" s="47">
        <v>53698.67</v>
      </c>
      <c r="F6" s="48">
        <v>1</v>
      </c>
      <c r="H6" s="47">
        <f>ROUND(D6*F6,2)</f>
        <v>53698.67</v>
      </c>
      <c r="K6" s="31" t="s">
        <v>66</v>
      </c>
      <c r="L6" s="47">
        <f>H6</f>
        <v>53698.67</v>
      </c>
      <c r="P6" s="47">
        <f>SUM(L6:O6)</f>
        <v>53698.67</v>
      </c>
    </row>
    <row r="8" spans="1:16" x14ac:dyDescent="0.2">
      <c r="A8" s="31" t="s">
        <v>254</v>
      </c>
      <c r="B8" s="31" t="s">
        <v>266</v>
      </c>
      <c r="C8" s="31"/>
      <c r="D8" s="47">
        <v>43483.56</v>
      </c>
      <c r="F8" s="48">
        <v>0.5</v>
      </c>
      <c r="H8" s="47">
        <f t="shared" ref="H8:H16" si="0">ROUND(D8*F8,2)</f>
        <v>21741.78</v>
      </c>
      <c r="K8" s="31" t="s">
        <v>99</v>
      </c>
      <c r="O8" s="47">
        <f>H8</f>
        <v>21741.78</v>
      </c>
      <c r="P8" s="47">
        <f t="shared" ref="P8:P17" si="1">SUM(L8:O8)</f>
        <v>21741.78</v>
      </c>
    </row>
    <row r="9" spans="1:16" x14ac:dyDescent="0.2">
      <c r="A9" s="31" t="s">
        <v>255</v>
      </c>
      <c r="B9" s="31" t="s">
        <v>267</v>
      </c>
      <c r="C9" s="31"/>
      <c r="D9" s="47">
        <v>47799.56</v>
      </c>
      <c r="F9" s="48">
        <v>0.5</v>
      </c>
      <c r="H9" s="47">
        <f t="shared" si="0"/>
        <v>23899.78</v>
      </c>
      <c r="K9" s="31" t="s">
        <v>99</v>
      </c>
      <c r="O9" s="47">
        <f>H9</f>
        <v>23899.78</v>
      </c>
      <c r="P9" s="47">
        <f t="shared" si="1"/>
        <v>23899.78</v>
      </c>
    </row>
    <row r="10" spans="1:16" x14ac:dyDescent="0.2">
      <c r="A10" s="31" t="s">
        <v>256</v>
      </c>
      <c r="B10" s="31" t="s">
        <v>268</v>
      </c>
      <c r="C10" s="31"/>
      <c r="D10" s="47">
        <v>67940.89</v>
      </c>
      <c r="F10" s="48">
        <v>0.5</v>
      </c>
      <c r="H10" s="47">
        <f t="shared" si="0"/>
        <v>33970.449999999997</v>
      </c>
      <c r="K10" s="31" t="s">
        <v>66</v>
      </c>
      <c r="L10" s="47">
        <f>H10</f>
        <v>33970.449999999997</v>
      </c>
      <c r="P10" s="47">
        <f t="shared" si="1"/>
        <v>33970.449999999997</v>
      </c>
    </row>
    <row r="11" spans="1:16" x14ac:dyDescent="0.2">
      <c r="A11" s="31" t="s">
        <v>257</v>
      </c>
      <c r="B11" s="31" t="s">
        <v>269</v>
      </c>
      <c r="C11" s="31"/>
      <c r="D11" s="47">
        <v>55472.44</v>
      </c>
      <c r="F11" s="48">
        <v>1</v>
      </c>
      <c r="H11" s="47">
        <f t="shared" si="0"/>
        <v>55472.44</v>
      </c>
      <c r="K11" s="31" t="s">
        <v>66</v>
      </c>
      <c r="L11" s="47">
        <f>H11</f>
        <v>55472.44</v>
      </c>
      <c r="P11" s="47">
        <f t="shared" si="1"/>
        <v>55472.44</v>
      </c>
    </row>
    <row r="12" spans="1:16" x14ac:dyDescent="0.2">
      <c r="A12" s="31" t="s">
        <v>262</v>
      </c>
      <c r="B12" s="31" t="s">
        <v>274</v>
      </c>
      <c r="C12" s="31"/>
      <c r="D12" s="47">
        <v>41045.33</v>
      </c>
      <c r="F12" s="48">
        <v>0.25</v>
      </c>
      <c r="H12" s="47">
        <f t="shared" si="0"/>
        <v>10261.33</v>
      </c>
      <c r="K12" s="31" t="s">
        <v>22</v>
      </c>
      <c r="M12" s="47">
        <f>H12-N12</f>
        <v>4353.33</v>
      </c>
      <c r="N12" s="47">
        <f>ROUND(H12*57.58%,0)</f>
        <v>5908</v>
      </c>
      <c r="P12" s="47">
        <f t="shared" si="1"/>
        <v>10261.33</v>
      </c>
    </row>
    <row r="13" spans="1:16" x14ac:dyDescent="0.2">
      <c r="A13" s="31" t="s">
        <v>261</v>
      </c>
      <c r="B13" s="31" t="s">
        <v>273</v>
      </c>
      <c r="C13" s="31"/>
      <c r="D13" s="47">
        <v>45887.11</v>
      </c>
      <c r="F13" s="48">
        <v>0.25</v>
      </c>
      <c r="H13" s="47">
        <f t="shared" si="0"/>
        <v>11471.78</v>
      </c>
      <c r="K13" s="31" t="s">
        <v>22</v>
      </c>
      <c r="M13" s="47">
        <f>H13</f>
        <v>11471.78</v>
      </c>
      <c r="P13" s="47">
        <f t="shared" si="1"/>
        <v>11471.78</v>
      </c>
    </row>
    <row r="14" spans="1:16" x14ac:dyDescent="0.2">
      <c r="A14" s="31" t="s">
        <v>260</v>
      </c>
      <c r="B14" s="31" t="s">
        <v>272</v>
      </c>
      <c r="C14" s="31"/>
      <c r="D14" s="47">
        <v>47857.33</v>
      </c>
      <c r="F14" s="48">
        <v>0.25</v>
      </c>
      <c r="H14" s="47">
        <f t="shared" si="0"/>
        <v>11964.33</v>
      </c>
      <c r="K14" s="31" t="s">
        <v>22</v>
      </c>
      <c r="M14" s="47">
        <f>H14</f>
        <v>11964.33</v>
      </c>
      <c r="P14" s="47">
        <f t="shared" si="1"/>
        <v>11964.33</v>
      </c>
    </row>
    <row r="15" spans="1:16" x14ac:dyDescent="0.2">
      <c r="A15" s="31" t="s">
        <v>263</v>
      </c>
      <c r="B15" s="31" t="s">
        <v>275</v>
      </c>
      <c r="C15" s="31"/>
      <c r="D15" s="47">
        <v>72000</v>
      </c>
      <c r="F15" s="48">
        <v>0.25</v>
      </c>
      <c r="H15" s="47">
        <f t="shared" si="0"/>
        <v>18000</v>
      </c>
      <c r="K15" s="31" t="s">
        <v>99</v>
      </c>
      <c r="O15" s="47">
        <f>H15</f>
        <v>18000</v>
      </c>
      <c r="P15" s="47">
        <f t="shared" si="1"/>
        <v>18000</v>
      </c>
    </row>
    <row r="16" spans="1:16" x14ac:dyDescent="0.2">
      <c r="A16" s="31" t="s">
        <v>258</v>
      </c>
      <c r="B16" s="31" t="s">
        <v>270</v>
      </c>
      <c r="C16" s="31"/>
      <c r="D16" s="47">
        <v>52080.89</v>
      </c>
      <c r="F16" s="48">
        <v>0.25</v>
      </c>
      <c r="H16" s="47">
        <f t="shared" si="0"/>
        <v>13020.22</v>
      </c>
      <c r="K16" s="31" t="s">
        <v>22</v>
      </c>
      <c r="M16" s="47">
        <f>H16-N16</f>
        <v>3255.2199999999993</v>
      </c>
      <c r="N16" s="47">
        <f>ROUND(H16*75%,0)</f>
        <v>9765</v>
      </c>
      <c r="P16" s="47">
        <f t="shared" si="1"/>
        <v>13020.22</v>
      </c>
    </row>
    <row r="17" spans="1:17" x14ac:dyDescent="0.2">
      <c r="A17" s="31" t="s">
        <v>259</v>
      </c>
      <c r="B17" s="31" t="s">
        <v>271</v>
      </c>
      <c r="C17" s="31"/>
      <c r="D17" s="47">
        <v>60273.78</v>
      </c>
      <c r="F17" s="48">
        <v>0.25</v>
      </c>
      <c r="H17" s="57">
        <f>ROUND(D17*F17,2)-0.01</f>
        <v>15068.44</v>
      </c>
      <c r="K17" s="31" t="s">
        <v>22</v>
      </c>
      <c r="M17" s="47">
        <f>H17</f>
        <v>15068.44</v>
      </c>
      <c r="P17" s="47">
        <f t="shared" si="1"/>
        <v>15068.44</v>
      </c>
    </row>
    <row r="18" spans="1:17" ht="15.75" thickBot="1" x14ac:dyDescent="0.25">
      <c r="A18" s="31" t="s">
        <v>281</v>
      </c>
      <c r="D18" s="53">
        <f>SUM(D5:D17)</f>
        <v>633975.56000000006</v>
      </c>
      <c r="H18" s="47">
        <f>SUM(H5:H17)</f>
        <v>280178.21999999997</v>
      </c>
      <c r="L18" s="53">
        <f>SUM(L5:L17)</f>
        <v>143141.56</v>
      </c>
      <c r="M18" s="53">
        <f t="shared" ref="M18:P18" si="2">SUM(M5:M17)</f>
        <v>57722.100000000006</v>
      </c>
      <c r="N18" s="53">
        <f t="shared" si="2"/>
        <v>15673</v>
      </c>
      <c r="O18" s="53">
        <f t="shared" si="2"/>
        <v>63641.56</v>
      </c>
      <c r="P18" s="53">
        <f t="shared" si="2"/>
        <v>280178.21999999997</v>
      </c>
    </row>
    <row r="19" spans="1:17" ht="16.5" thickTop="1" thickBot="1" x14ac:dyDescent="0.25">
      <c r="A19" s="31" t="s">
        <v>282</v>
      </c>
      <c r="H19" s="57">
        <f>-'Trial Balance'!G8-'Trial Balance'!I8</f>
        <v>-232250</v>
      </c>
      <c r="L19" s="71">
        <f>ROUND(L18/$P18,5)</f>
        <v>0.51088999999999996</v>
      </c>
      <c r="M19" s="71">
        <f t="shared" ref="M19:O19" si="3">ROUND(M18/$P18,5)</f>
        <v>0.20602000000000001</v>
      </c>
      <c r="N19" s="71">
        <f t="shared" si="3"/>
        <v>5.5939999999999997E-2</v>
      </c>
      <c r="O19" s="71">
        <f t="shared" si="3"/>
        <v>0.22714999999999999</v>
      </c>
      <c r="P19" s="71">
        <f t="shared" ref="P19" si="4">ROUND(P18/$P18,4)</f>
        <v>1</v>
      </c>
    </row>
    <row r="20" spans="1:17" ht="16.5" thickTop="1" thickBot="1" x14ac:dyDescent="0.25">
      <c r="A20" s="31" t="s">
        <v>119</v>
      </c>
      <c r="H20" s="53">
        <f>SUM(H18:H19)</f>
        <v>47928.219999999972</v>
      </c>
      <c r="K20" s="31"/>
    </row>
    <row r="21" spans="1:17" ht="15.75" thickTop="1" x14ac:dyDescent="0.2">
      <c r="A21" s="31"/>
      <c r="K21" s="31" t="s">
        <v>287</v>
      </c>
    </row>
    <row r="22" spans="1:17" x14ac:dyDescent="0.2">
      <c r="A22" s="31"/>
      <c r="K22" s="31"/>
      <c r="M22" s="47">
        <f>M18</f>
        <v>57722.100000000006</v>
      </c>
      <c r="N22" s="47">
        <f>N18</f>
        <v>15673</v>
      </c>
      <c r="P22" s="47">
        <f t="shared" ref="P22" si="5">SUM(L22:O22)</f>
        <v>73395.100000000006</v>
      </c>
    </row>
    <row r="23" spans="1:17" x14ac:dyDescent="0.2">
      <c r="A23" s="31"/>
      <c r="K23" s="31"/>
      <c r="M23" s="54">
        <f t="shared" ref="M23:N23" si="6">ROUND(M22/$P22,4)</f>
        <v>0.78649999999999998</v>
      </c>
      <c r="N23" s="54">
        <f t="shared" si="6"/>
        <v>0.2135</v>
      </c>
    </row>
    <row r="24" spans="1:17" x14ac:dyDescent="0.2">
      <c r="A24" s="31"/>
    </row>
    <row r="25" spans="1:17" x14ac:dyDescent="0.2">
      <c r="K25" s="42" t="s">
        <v>132</v>
      </c>
      <c r="L25" s="47">
        <f>L18</f>
        <v>143141.56</v>
      </c>
      <c r="M25" s="47">
        <f t="shared" ref="M25:O25" si="7">M18</f>
        <v>57722.100000000006</v>
      </c>
      <c r="N25" s="47">
        <f t="shared" si="7"/>
        <v>15673</v>
      </c>
      <c r="O25" s="47">
        <f t="shared" si="7"/>
        <v>63641.56</v>
      </c>
      <c r="P25" s="47">
        <f>SUM(L25:O25)</f>
        <v>280178.21999999997</v>
      </c>
      <c r="Q25" s="47">
        <f>'Trial Balance'!M8</f>
        <v>0</v>
      </c>
    </row>
    <row r="26" spans="1:17" x14ac:dyDescent="0.2">
      <c r="A26" s="31" t="s">
        <v>283</v>
      </c>
      <c r="K26" s="42" t="s">
        <v>134</v>
      </c>
      <c r="L26" s="47">
        <f>ROUND($P26*L$19,2)</f>
        <v>10029.790000000001</v>
      </c>
      <c r="M26" s="47">
        <f t="shared" ref="M26:O26" si="8">ROUND($P26*M$19,2)</f>
        <v>4044.58</v>
      </c>
      <c r="N26" s="47">
        <f t="shared" si="8"/>
        <v>1098.21</v>
      </c>
      <c r="O26" s="47">
        <f t="shared" si="8"/>
        <v>4459.41</v>
      </c>
      <c r="P26" s="47">
        <f>'Trial Balance'!M10</f>
        <v>19632</v>
      </c>
      <c r="Q26" s="47">
        <f>SUM(L26:O26)</f>
        <v>19631.990000000002</v>
      </c>
    </row>
    <row r="27" spans="1:17" x14ac:dyDescent="0.2">
      <c r="A27" t="s">
        <v>345</v>
      </c>
      <c r="H27" s="47">
        <f>H18</f>
        <v>280178.21999999997</v>
      </c>
      <c r="K27" s="42" t="s">
        <v>136</v>
      </c>
      <c r="L27" s="47">
        <f t="shared" ref="L27:O33" si="9">ROUND($P27*L$19,2)</f>
        <v>0</v>
      </c>
      <c r="M27" s="47">
        <f t="shared" si="9"/>
        <v>0</v>
      </c>
      <c r="N27" s="47">
        <f t="shared" si="9"/>
        <v>0</v>
      </c>
      <c r="O27" s="47">
        <f t="shared" si="9"/>
        <v>0</v>
      </c>
      <c r="P27" s="47">
        <f>'Trial Balance'!M11</f>
        <v>0</v>
      </c>
      <c r="Q27" s="47">
        <f t="shared" ref="Q27:Q29" si="10">SUM(L27:O27)</f>
        <v>0</v>
      </c>
    </row>
    <row r="28" spans="1:17" x14ac:dyDescent="0.2">
      <c r="A28" t="s">
        <v>346</v>
      </c>
      <c r="H28" s="70">
        <v>0.17430000000000001</v>
      </c>
      <c r="K28" s="42" t="s">
        <v>138</v>
      </c>
      <c r="L28" s="47">
        <f t="shared" si="9"/>
        <v>0</v>
      </c>
      <c r="M28" s="47">
        <f t="shared" si="9"/>
        <v>0</v>
      </c>
      <c r="N28" s="47">
        <f t="shared" si="9"/>
        <v>0</v>
      </c>
      <c r="O28" s="47">
        <f t="shared" si="9"/>
        <v>0</v>
      </c>
      <c r="P28" s="47">
        <f>'Trial Balance'!M13</f>
        <v>0</v>
      </c>
      <c r="Q28" s="47">
        <f t="shared" si="10"/>
        <v>0</v>
      </c>
    </row>
    <row r="29" spans="1:17" x14ac:dyDescent="0.2">
      <c r="A29" t="s">
        <v>347</v>
      </c>
      <c r="H29" s="47">
        <f>ROUND(H27*H28,2)</f>
        <v>48835.06</v>
      </c>
      <c r="K29" s="42" t="s">
        <v>140</v>
      </c>
      <c r="L29" s="47">
        <f t="shared" si="9"/>
        <v>0</v>
      </c>
      <c r="M29" s="47">
        <f t="shared" si="9"/>
        <v>0</v>
      </c>
      <c r="N29" s="47">
        <f t="shared" si="9"/>
        <v>0</v>
      </c>
      <c r="O29" s="47">
        <f t="shared" si="9"/>
        <v>0</v>
      </c>
      <c r="P29" s="47">
        <f>'Trial Balance'!M15</f>
        <v>0</v>
      </c>
      <c r="Q29" s="47">
        <f t="shared" si="10"/>
        <v>0</v>
      </c>
    </row>
    <row r="30" spans="1:17" x14ac:dyDescent="0.2">
      <c r="A30" t="s">
        <v>348</v>
      </c>
      <c r="H30" s="57">
        <f>-'Trial Balance'!G11-'Trial Balance'!I11</f>
        <v>-47688</v>
      </c>
      <c r="K30" s="31" t="s">
        <v>285</v>
      </c>
      <c r="L30" s="47">
        <f t="shared" si="9"/>
        <v>4476.42</v>
      </c>
      <c r="M30" s="47">
        <f t="shared" si="9"/>
        <v>1805.15</v>
      </c>
      <c r="N30" s="47">
        <f t="shared" si="9"/>
        <v>490.15</v>
      </c>
      <c r="O30" s="47">
        <f t="shared" si="9"/>
        <v>1990.29</v>
      </c>
      <c r="P30" s="47">
        <f>'Trial Balance'!M17</f>
        <v>8762</v>
      </c>
      <c r="Q30" s="47">
        <f t="shared" ref="Q30" si="11">SUM(L30:O30)</f>
        <v>8762.0099999999984</v>
      </c>
    </row>
    <row r="31" spans="1:17" ht="15.75" thickBot="1" x14ac:dyDescent="0.25">
      <c r="A31" t="s">
        <v>349</v>
      </c>
      <c r="H31" s="53">
        <f>SUM(H29:H30)</f>
        <v>1147.0599999999977</v>
      </c>
      <c r="K31" s="31" t="s">
        <v>284</v>
      </c>
      <c r="L31" s="47">
        <f t="shared" si="9"/>
        <v>73.06</v>
      </c>
      <c r="M31" s="47">
        <f t="shared" si="9"/>
        <v>29.46</v>
      </c>
      <c r="N31" s="47">
        <f t="shared" si="9"/>
        <v>8</v>
      </c>
      <c r="O31" s="47">
        <f t="shared" si="9"/>
        <v>32.479999999999997</v>
      </c>
      <c r="P31" s="47">
        <f>'Trial Balance'!M18</f>
        <v>143</v>
      </c>
      <c r="Q31" s="47">
        <f t="shared" ref="Q31:Q33" si="12">SUM(L31:O31)</f>
        <v>143</v>
      </c>
    </row>
    <row r="32" spans="1:17" ht="15.75" thickTop="1" x14ac:dyDescent="0.2"/>
    <row r="33" spans="1:17" x14ac:dyDescent="0.2">
      <c r="A33" t="s">
        <v>351</v>
      </c>
      <c r="K33" s="31" t="s">
        <v>286</v>
      </c>
      <c r="L33" s="47">
        <f t="shared" si="9"/>
        <v>1418.74</v>
      </c>
      <c r="M33" s="47">
        <f t="shared" si="9"/>
        <v>572.12</v>
      </c>
      <c r="N33" s="47">
        <f t="shared" si="9"/>
        <v>155.35</v>
      </c>
      <c r="O33" s="47">
        <f t="shared" si="9"/>
        <v>630.79999999999995</v>
      </c>
      <c r="P33" s="47">
        <f>'Trial Balance'!M34+'Trial Balance'!M53</f>
        <v>2777</v>
      </c>
      <c r="Q33" s="47">
        <f t="shared" si="12"/>
        <v>2777.01</v>
      </c>
    </row>
    <row r="34" spans="1:17" x14ac:dyDescent="0.2">
      <c r="A34" t="s">
        <v>345</v>
      </c>
      <c r="H34" s="47">
        <f>H27</f>
        <v>280178.21999999997</v>
      </c>
    </row>
    <row r="35" spans="1:17" x14ac:dyDescent="0.2">
      <c r="A35" t="s">
        <v>350</v>
      </c>
      <c r="H35" s="70">
        <v>7.6700000000000004E-2</v>
      </c>
    </row>
    <row r="36" spans="1:17" x14ac:dyDescent="0.2">
      <c r="A36" t="s">
        <v>352</v>
      </c>
      <c r="H36" s="47">
        <f>ROUND(H34*H35,2)</f>
        <v>21489.67</v>
      </c>
      <c r="K36" s="31" t="s">
        <v>110</v>
      </c>
    </row>
    <row r="37" spans="1:17" x14ac:dyDescent="0.2">
      <c r="A37" t="s">
        <v>353</v>
      </c>
      <c r="H37" s="57">
        <f>-'Trial Balance'!G15-'Trial Balance'!I15</f>
        <v>-19214</v>
      </c>
      <c r="K37" s="31" t="s">
        <v>408</v>
      </c>
      <c r="L37" s="47">
        <f>L25+L26</f>
        <v>153171.35</v>
      </c>
      <c r="M37" s="47">
        <f>M25+M26</f>
        <v>61766.680000000008</v>
      </c>
      <c r="N37" s="47">
        <f>N25+N26</f>
        <v>16771.21</v>
      </c>
      <c r="Q37" s="47">
        <f>SUM(L37:P37)</f>
        <v>231709.24000000002</v>
      </c>
    </row>
    <row r="38" spans="1:17" ht="15.75" thickBot="1" x14ac:dyDescent="0.25">
      <c r="A38" t="s">
        <v>349</v>
      </c>
      <c r="H38" s="53">
        <f>SUM(H36:H37)</f>
        <v>2275.6699999999983</v>
      </c>
      <c r="K38" s="31" t="s">
        <v>11</v>
      </c>
      <c r="L38" s="146">
        <f>ROUND(L37/$Q37,4)</f>
        <v>0.66100000000000003</v>
      </c>
      <c r="M38" s="146">
        <f>ROUND(M37/$Q37,4)</f>
        <v>0.2666</v>
      </c>
      <c r="N38" s="146">
        <f>ROUND(N37/$Q37,4)</f>
        <v>7.2400000000000006E-2</v>
      </c>
      <c r="Q38" s="146">
        <f>SUM(L38:P38)</f>
        <v>1</v>
      </c>
    </row>
    <row r="39" spans="1:17" ht="15.75" thickTop="1" x14ac:dyDescent="0.2"/>
  </sheetData>
  <sortState xmlns:xlrd2="http://schemas.microsoft.com/office/spreadsheetml/2017/richdata2" ref="A5:P17">
    <sortCondition ref="A5:A17"/>
  </sortState>
  <mergeCells count="2">
    <mergeCell ref="A4:B4"/>
    <mergeCell ref="A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4661-02FA-4559-8F11-2BE4DC80C26A}">
  <dimension ref="A1:N29"/>
  <sheetViews>
    <sheetView topLeftCell="A13" workbookViewId="0">
      <selection activeCell="J1" sqref="J1:N1"/>
    </sheetView>
  </sheetViews>
  <sheetFormatPr defaultColWidth="8.88671875" defaultRowHeight="15" x14ac:dyDescent="0.2"/>
  <cols>
    <col min="1" max="1" width="8.88671875" style="31"/>
    <col min="2" max="5" width="12.77734375" style="31" customWidth="1"/>
    <col min="6" max="9" width="2.77734375" style="31" customWidth="1"/>
    <col min="10" max="14" width="12.77734375" style="31" customWidth="1"/>
    <col min="15" max="16384" width="8.88671875" style="31"/>
  </cols>
  <sheetData>
    <row r="1" spans="1:14" ht="15.75" x14ac:dyDescent="0.25">
      <c r="A1" s="64" t="s">
        <v>314</v>
      </c>
      <c r="C1" s="341" t="s">
        <v>315</v>
      </c>
      <c r="D1" s="341"/>
      <c r="E1" s="341"/>
      <c r="J1" s="341" t="s">
        <v>316</v>
      </c>
      <c r="K1" s="341"/>
      <c r="L1" s="341"/>
      <c r="M1" s="341"/>
      <c r="N1" s="341"/>
    </row>
    <row r="3" spans="1:14" ht="15.75" x14ac:dyDescent="0.25">
      <c r="A3" s="64">
        <v>2024</v>
      </c>
      <c r="C3" s="64" t="s">
        <v>317</v>
      </c>
      <c r="E3" s="64" t="s">
        <v>318</v>
      </c>
      <c r="J3" s="64">
        <v>2024</v>
      </c>
      <c r="L3" s="64" t="s">
        <v>319</v>
      </c>
      <c r="N3" s="64" t="s">
        <v>318</v>
      </c>
    </row>
    <row r="4" spans="1:14" x14ac:dyDescent="0.2">
      <c r="A4" s="31" t="s">
        <v>320</v>
      </c>
      <c r="C4" s="31">
        <v>54480</v>
      </c>
      <c r="E4" s="31">
        <v>5416.24</v>
      </c>
      <c r="J4" s="31" t="s">
        <v>320</v>
      </c>
      <c r="L4" s="31">
        <v>3494</v>
      </c>
      <c r="N4" s="31">
        <v>268.63</v>
      </c>
    </row>
    <row r="5" spans="1:14" x14ac:dyDescent="0.2">
      <c r="A5" s="31" t="s">
        <v>321</v>
      </c>
      <c r="C5" s="31">
        <v>43200</v>
      </c>
      <c r="E5" s="31">
        <v>4299.5200000000004</v>
      </c>
      <c r="J5" s="31" t="s">
        <v>321</v>
      </c>
      <c r="L5" s="31">
        <v>2636</v>
      </c>
      <c r="N5" s="31">
        <v>301.27999999999997</v>
      </c>
    </row>
    <row r="6" spans="1:14" x14ac:dyDescent="0.2">
      <c r="A6" s="31" t="s">
        <v>322</v>
      </c>
      <c r="C6" s="31">
        <v>54720</v>
      </c>
      <c r="E6" s="31">
        <v>5440</v>
      </c>
      <c r="J6" s="31" t="s">
        <v>322</v>
      </c>
      <c r="L6" s="31">
        <v>3215</v>
      </c>
      <c r="N6" s="31">
        <v>363.19</v>
      </c>
    </row>
    <row r="7" spans="1:14" x14ac:dyDescent="0.2">
      <c r="A7" s="31" t="s">
        <v>323</v>
      </c>
      <c r="C7" s="31">
        <v>47760</v>
      </c>
      <c r="E7" s="31">
        <v>4750.96</v>
      </c>
      <c r="J7" s="31" t="s">
        <v>323</v>
      </c>
      <c r="L7" s="31">
        <v>2121</v>
      </c>
      <c r="N7" s="31">
        <v>246.22</v>
      </c>
    </row>
    <row r="8" spans="1:14" x14ac:dyDescent="0.2">
      <c r="A8" s="31" t="s">
        <v>324</v>
      </c>
      <c r="C8" s="31">
        <v>56880</v>
      </c>
      <c r="E8" s="31">
        <v>5653.84</v>
      </c>
      <c r="J8" s="31" t="s">
        <v>324</v>
      </c>
      <c r="L8" s="31">
        <v>2026</v>
      </c>
      <c r="N8" s="31">
        <v>226.26</v>
      </c>
    </row>
    <row r="9" spans="1:14" x14ac:dyDescent="0.2">
      <c r="A9" s="31" t="s">
        <v>325</v>
      </c>
      <c r="C9" s="31">
        <v>62640</v>
      </c>
      <c r="E9" s="31">
        <v>6224.08</v>
      </c>
      <c r="J9" s="31" t="s">
        <v>325</v>
      </c>
      <c r="L9" s="31">
        <v>2374</v>
      </c>
      <c r="N9" s="31">
        <v>257.75</v>
      </c>
    </row>
    <row r="10" spans="1:14" ht="15.75" x14ac:dyDescent="0.25">
      <c r="A10" s="31">
        <v>2025</v>
      </c>
      <c r="D10" s="65" t="s">
        <v>326</v>
      </c>
      <c r="E10" s="66">
        <f>SUM(E4:E9)</f>
        <v>31784.639999999999</v>
      </c>
      <c r="J10" s="31">
        <v>2025</v>
      </c>
      <c r="M10" s="65" t="s">
        <v>10</v>
      </c>
      <c r="N10" s="66">
        <f>SUM(N4:N9)</f>
        <v>1663.33</v>
      </c>
    </row>
    <row r="11" spans="1:14" x14ac:dyDescent="0.2">
      <c r="A11" s="31" t="s">
        <v>327</v>
      </c>
      <c r="C11" s="31">
        <v>76800</v>
      </c>
      <c r="E11" s="31">
        <v>7625.92</v>
      </c>
      <c r="J11" s="31" t="s">
        <v>327</v>
      </c>
      <c r="L11" s="31">
        <v>2667</v>
      </c>
      <c r="N11" s="67">
        <v>286.75</v>
      </c>
    </row>
    <row r="12" spans="1:14" x14ac:dyDescent="0.2">
      <c r="A12" s="31" t="s">
        <v>328</v>
      </c>
      <c r="C12" s="31">
        <v>61440</v>
      </c>
      <c r="E12" s="31">
        <v>6105.28</v>
      </c>
      <c r="J12" s="31" t="s">
        <v>328</v>
      </c>
      <c r="L12" s="31">
        <v>2953</v>
      </c>
      <c r="N12" s="67">
        <v>315.07</v>
      </c>
    </row>
    <row r="13" spans="1:14" x14ac:dyDescent="0.2">
      <c r="A13" s="31" t="s">
        <v>329</v>
      </c>
      <c r="C13" s="31">
        <v>60960</v>
      </c>
      <c r="E13" s="31">
        <v>6057.76</v>
      </c>
      <c r="J13" s="31" t="s">
        <v>329</v>
      </c>
      <c r="L13" s="31">
        <v>2518</v>
      </c>
      <c r="N13" s="67">
        <v>272</v>
      </c>
    </row>
    <row r="14" spans="1:14" x14ac:dyDescent="0.2">
      <c r="A14" s="31" t="s">
        <v>330</v>
      </c>
      <c r="C14" s="31">
        <v>60000</v>
      </c>
      <c r="E14" s="31">
        <v>5962.72</v>
      </c>
      <c r="J14" s="31" t="s">
        <v>330</v>
      </c>
      <c r="L14" s="31">
        <v>2724</v>
      </c>
      <c r="N14" s="67">
        <v>292.39999999999998</v>
      </c>
    </row>
    <row r="15" spans="1:14" x14ac:dyDescent="0.2">
      <c r="A15" s="31" t="s">
        <v>331</v>
      </c>
      <c r="C15" s="31">
        <v>50160</v>
      </c>
      <c r="E15" s="31">
        <v>4988.5600000000004</v>
      </c>
      <c r="J15" s="31" t="s">
        <v>331</v>
      </c>
      <c r="L15" s="31">
        <v>2434</v>
      </c>
      <c r="N15" s="67">
        <v>263.69</v>
      </c>
    </row>
    <row r="16" spans="1:14" x14ac:dyDescent="0.2">
      <c r="A16" s="31" t="s">
        <v>332</v>
      </c>
      <c r="C16" s="31">
        <v>44880</v>
      </c>
      <c r="E16" s="31">
        <v>4465.84</v>
      </c>
      <c r="J16" s="31" t="s">
        <v>332</v>
      </c>
      <c r="L16" s="31">
        <v>3595</v>
      </c>
      <c r="N16" s="67">
        <v>378.63</v>
      </c>
    </row>
    <row r="17" spans="1:14" ht="15.75" x14ac:dyDescent="0.25">
      <c r="D17" s="65" t="s">
        <v>326</v>
      </c>
      <c r="E17" s="66">
        <f>SUM(E11:E16)</f>
        <v>35206.080000000002</v>
      </c>
      <c r="M17" s="65" t="s">
        <v>10</v>
      </c>
      <c r="N17" s="66">
        <f>SUM(N11:N16)</f>
        <v>1808.54</v>
      </c>
    </row>
    <row r="23" spans="1:14" x14ac:dyDescent="0.2">
      <c r="B23" s="31" t="s">
        <v>79</v>
      </c>
      <c r="M23" s="31" t="s">
        <v>80</v>
      </c>
    </row>
    <row r="24" spans="1:14" x14ac:dyDescent="0.2">
      <c r="A24" s="31" t="s">
        <v>333</v>
      </c>
      <c r="B24" s="67">
        <v>31784.639999999999</v>
      </c>
      <c r="L24" s="31" t="s">
        <v>333</v>
      </c>
      <c r="M24" s="67">
        <v>1663.33</v>
      </c>
    </row>
    <row r="25" spans="1:14" x14ac:dyDescent="0.2">
      <c r="A25" s="31" t="s">
        <v>334</v>
      </c>
      <c r="B25" s="67">
        <v>35206.080000000002</v>
      </c>
      <c r="L25" s="31" t="s">
        <v>334</v>
      </c>
      <c r="M25" s="67">
        <v>1808.54</v>
      </c>
    </row>
    <row r="26" spans="1:14" ht="15.75" x14ac:dyDescent="0.25">
      <c r="A26" s="65" t="s">
        <v>326</v>
      </c>
      <c r="B26" s="66">
        <f>SUM(B24:B25)</f>
        <v>66990.720000000001</v>
      </c>
      <c r="L26" s="65" t="s">
        <v>326</v>
      </c>
      <c r="M26" s="67">
        <f>SUM(M24:M25)</f>
        <v>3471.87</v>
      </c>
    </row>
    <row r="27" spans="1:14" x14ac:dyDescent="0.2">
      <c r="C27" s="45" t="s">
        <v>66</v>
      </c>
      <c r="D27" s="45" t="s">
        <v>80</v>
      </c>
    </row>
    <row r="28" spans="1:14" x14ac:dyDescent="0.2">
      <c r="C28" s="69">
        <f>ROUND($B26/$B29,5)</f>
        <v>0.95072999999999996</v>
      </c>
      <c r="D28" s="69">
        <f>ROUND(M26/$B29,5)</f>
        <v>4.9270000000000001E-2</v>
      </c>
    </row>
    <row r="29" spans="1:14" x14ac:dyDescent="0.2">
      <c r="B29" s="68">
        <f>B26+M26</f>
        <v>70462.59</v>
      </c>
      <c r="C29" s="49">
        <f>ROUND($B29*C28,0)</f>
        <v>66991</v>
      </c>
      <c r="D29" s="49">
        <f>ROUND($B29*D28,0)</f>
        <v>3472</v>
      </c>
      <c r="E29" s="49">
        <f>SUM(C29:D29)</f>
        <v>70463</v>
      </c>
    </row>
  </sheetData>
  <mergeCells count="2">
    <mergeCell ref="J1:N1"/>
    <mergeCell ref="C1:E1"/>
  </mergeCells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6BE2-2B3C-406E-B302-8265762C5E74}">
  <sheetPr>
    <pageSetUpPr fitToPage="1"/>
  </sheetPr>
  <dimension ref="A2:V111"/>
  <sheetViews>
    <sheetView showGridLines="0" topLeftCell="A58" workbookViewId="0">
      <selection activeCell="O65" sqref="O65"/>
    </sheetView>
  </sheetViews>
  <sheetFormatPr defaultColWidth="8.88671875" defaultRowHeight="15" x14ac:dyDescent="0.25"/>
  <cols>
    <col min="1" max="2" width="2.5546875" style="1" customWidth="1"/>
    <col min="3" max="3" width="5.44140625" style="62" customWidth="1"/>
    <col min="4" max="4" width="27.5546875" style="40" bestFit="1" customWidth="1"/>
    <col min="5" max="5" width="23.33203125" style="1" customWidth="1"/>
    <col min="6" max="11" width="11.5546875" style="1" customWidth="1"/>
    <col min="12" max="12" width="2.5546875" style="1" customWidth="1"/>
    <col min="13" max="13" width="2.6640625" style="1" customWidth="1"/>
    <col min="14" max="14" width="12.5546875" style="1" customWidth="1"/>
    <col min="15" max="18" width="10.5546875" style="1" customWidth="1"/>
    <col min="19" max="16384" width="8.88671875" style="1"/>
  </cols>
  <sheetData>
    <row r="2" spans="2:22" x14ac:dyDescent="0.25">
      <c r="B2" s="98"/>
      <c r="C2" s="99"/>
      <c r="D2" s="100"/>
      <c r="E2" s="101"/>
      <c r="F2" s="101"/>
      <c r="G2" s="101"/>
      <c r="H2" s="101"/>
      <c r="I2" s="115"/>
      <c r="J2" s="101"/>
      <c r="K2" s="101"/>
      <c r="L2" s="102"/>
    </row>
    <row r="3" spans="2:22" ht="18.75" x14ac:dyDescent="0.3">
      <c r="B3" s="7"/>
      <c r="C3" s="342" t="s">
        <v>89</v>
      </c>
      <c r="D3" s="342"/>
      <c r="E3" s="342"/>
      <c r="F3" s="342"/>
      <c r="G3" s="342"/>
      <c r="H3" s="342"/>
      <c r="I3" s="342"/>
      <c r="J3" s="342"/>
      <c r="K3" s="342"/>
      <c r="L3" s="3"/>
    </row>
    <row r="4" spans="2:22" ht="18.75" x14ac:dyDescent="0.3">
      <c r="B4" s="7"/>
      <c r="C4" s="342" t="s">
        <v>90</v>
      </c>
      <c r="D4" s="342"/>
      <c r="E4" s="342"/>
      <c r="F4" s="342"/>
      <c r="G4" s="342"/>
      <c r="H4" s="342"/>
      <c r="I4" s="342"/>
      <c r="J4" s="342"/>
      <c r="K4" s="342"/>
      <c r="L4" s="3"/>
    </row>
    <row r="5" spans="2:22" ht="18.75" x14ac:dyDescent="0.3">
      <c r="B5" s="7"/>
      <c r="C5" s="343" t="s">
        <v>225</v>
      </c>
      <c r="D5" s="343"/>
      <c r="E5" s="343"/>
      <c r="F5" s="343"/>
      <c r="G5" s="343"/>
      <c r="H5" s="343"/>
      <c r="I5" s="343"/>
      <c r="J5" s="343"/>
      <c r="K5" s="343"/>
      <c r="L5" s="3"/>
    </row>
    <row r="6" spans="2:22" x14ac:dyDescent="0.25">
      <c r="B6" s="7"/>
      <c r="C6" s="60"/>
      <c r="D6" s="34"/>
      <c r="E6" s="8"/>
      <c r="F6" s="8"/>
      <c r="G6" s="8"/>
      <c r="H6" s="8"/>
      <c r="I6" s="8"/>
      <c r="J6" s="8"/>
      <c r="K6" s="8"/>
      <c r="L6" s="3"/>
    </row>
    <row r="7" spans="2:22" x14ac:dyDescent="0.25">
      <c r="B7" s="7"/>
      <c r="C7" s="60"/>
      <c r="D7" s="34"/>
      <c r="E7" s="8"/>
      <c r="F7" s="103"/>
      <c r="G7" s="6" t="s">
        <v>65</v>
      </c>
      <c r="H7" s="6" t="s">
        <v>80</v>
      </c>
      <c r="I7" s="6"/>
      <c r="J7" s="6" t="s">
        <v>19</v>
      </c>
      <c r="K7" s="6" t="s">
        <v>99</v>
      </c>
      <c r="L7" s="3"/>
      <c r="O7" s="6" t="s">
        <v>65</v>
      </c>
      <c r="P7" s="6" t="s">
        <v>80</v>
      </c>
      <c r="Q7" s="6" t="s">
        <v>19</v>
      </c>
      <c r="R7" s="6" t="s">
        <v>99</v>
      </c>
    </row>
    <row r="8" spans="2:22" x14ac:dyDescent="0.25">
      <c r="B8" s="7"/>
      <c r="C8" s="104" t="s">
        <v>95</v>
      </c>
      <c r="D8" s="105" t="s">
        <v>106</v>
      </c>
      <c r="E8" s="104" t="s">
        <v>96</v>
      </c>
      <c r="F8" s="106" t="s">
        <v>97</v>
      </c>
      <c r="G8" s="97" t="s">
        <v>79</v>
      </c>
      <c r="H8" s="97" t="s">
        <v>81</v>
      </c>
      <c r="I8" s="97" t="s">
        <v>374</v>
      </c>
      <c r="J8" s="97" t="s">
        <v>82</v>
      </c>
      <c r="K8" s="97" t="s">
        <v>83</v>
      </c>
      <c r="L8" s="3"/>
      <c r="O8" s="6" t="s">
        <v>79</v>
      </c>
      <c r="P8" s="6" t="s">
        <v>81</v>
      </c>
      <c r="Q8" s="6" t="s">
        <v>82</v>
      </c>
      <c r="R8" s="6" t="s">
        <v>83</v>
      </c>
      <c r="U8" s="1">
        <f>SUM(G8:K8)</f>
        <v>0</v>
      </c>
    </row>
    <row r="9" spans="2:22" x14ac:dyDescent="0.25">
      <c r="B9" s="7"/>
      <c r="C9" s="95" t="s">
        <v>298</v>
      </c>
      <c r="D9" s="107"/>
      <c r="E9" s="95"/>
      <c r="F9" s="103"/>
      <c r="G9" s="6"/>
      <c r="H9" s="6"/>
      <c r="I9" s="6"/>
      <c r="J9" s="6"/>
      <c r="K9" s="6"/>
      <c r="L9" s="3"/>
      <c r="O9" s="6"/>
      <c r="P9" s="6"/>
      <c r="Q9" s="6"/>
      <c r="R9" s="6"/>
    </row>
    <row r="10" spans="2:22" x14ac:dyDescent="0.25">
      <c r="B10" s="7"/>
      <c r="C10" s="13"/>
      <c r="D10" s="15" t="str">
        <f>'Trial Balance'!O21</f>
        <v>Chemicals</v>
      </c>
      <c r="E10" s="108" t="str">
        <f>'Trial Balance'!E21</f>
        <v>CHEMICALS</v>
      </c>
      <c r="F10" s="32">
        <f>'Trial Balance'!M21</f>
        <v>169846.79</v>
      </c>
      <c r="G10" s="4">
        <f>ROUND($F10*O10,0)</f>
        <v>169847</v>
      </c>
      <c r="H10" s="4">
        <f>ROUND($F10*P10,0)</f>
        <v>0</v>
      </c>
      <c r="I10" s="4"/>
      <c r="J10" s="4">
        <f>ROUND($F10*Q10,0)</f>
        <v>0</v>
      </c>
      <c r="K10" s="4">
        <f>ROUND($F10*R10,0)</f>
        <v>0</v>
      </c>
      <c r="L10" s="3"/>
      <c r="N10" s="1">
        <f>SUM(G10:K10)</f>
        <v>169847</v>
      </c>
      <c r="O10" s="2">
        <v>1</v>
      </c>
      <c r="P10" s="2"/>
      <c r="Q10" s="2"/>
      <c r="R10" s="2"/>
    </row>
    <row r="11" spans="2:22" x14ac:dyDescent="0.25">
      <c r="B11" s="7"/>
      <c r="C11" s="13" t="s">
        <v>299</v>
      </c>
      <c r="D11" s="15"/>
      <c r="E11" s="108"/>
      <c r="F11" s="32"/>
      <c r="G11" s="4"/>
      <c r="H11" s="4"/>
      <c r="I11" s="4"/>
      <c r="J11" s="4"/>
      <c r="K11" s="4"/>
      <c r="L11" s="3"/>
      <c r="O11" s="2"/>
      <c r="P11" s="2"/>
      <c r="Q11" s="2"/>
      <c r="R11" s="2"/>
    </row>
    <row r="12" spans="2:22" x14ac:dyDescent="0.25">
      <c r="B12" s="7"/>
      <c r="C12" s="13"/>
      <c r="D12" s="15" t="str">
        <f>'Trial Balance'!O61</f>
        <v>Depreciation</v>
      </c>
      <c r="E12" s="108" t="str">
        <f>'Trial Balance'!E61</f>
        <v>DEPRECIATION WATER</v>
      </c>
      <c r="F12" s="32">
        <f>'Trial Balance'!M61</f>
        <v>168976.3</v>
      </c>
      <c r="G12" s="4">
        <f>ROUND($F12*O12,0)</f>
        <v>83951</v>
      </c>
      <c r="H12" s="4">
        <f>ROUND($F12*P12,0)</f>
        <v>44926</v>
      </c>
      <c r="I12" s="4">
        <f>ROUND(Depreciation!O53,0)</f>
        <v>24241</v>
      </c>
      <c r="J12" s="4">
        <f>ROUND($F12*Q12,0)</f>
        <v>3180</v>
      </c>
      <c r="K12" s="4">
        <f>ROUND($F12*R12,0)</f>
        <v>0</v>
      </c>
      <c r="L12" s="3"/>
      <c r="O12" s="59">
        <f>Depreciation!K50</f>
        <v>0.49681999999999998</v>
      </c>
      <c r="P12" s="59">
        <f>Depreciation!M50</f>
        <v>0.26587</v>
      </c>
      <c r="Q12" s="59">
        <f>Depreciation!Q50</f>
        <v>1.882E-2</v>
      </c>
      <c r="R12" s="59">
        <f>Depreciation!S50</f>
        <v>0</v>
      </c>
    </row>
    <row r="13" spans="2:22" x14ac:dyDescent="0.25">
      <c r="B13" s="7"/>
      <c r="C13" s="13"/>
      <c r="D13" s="15"/>
      <c r="E13" s="108" t="s">
        <v>407</v>
      </c>
      <c r="F13" s="32"/>
      <c r="G13" s="4"/>
      <c r="H13" s="4"/>
      <c r="I13" s="4"/>
      <c r="J13" s="4"/>
      <c r="K13" s="4"/>
      <c r="L13" s="3"/>
      <c r="O13" s="2">
        <f>'Emp Sal Adj'!L$38</f>
        <v>0.66100000000000003</v>
      </c>
      <c r="P13" s="2">
        <f>'Emp Sal Adj'!M$38</f>
        <v>0.2666</v>
      </c>
      <c r="Q13" s="2">
        <f>'Emp Sal Adj'!N$38</f>
        <v>7.2400000000000006E-2</v>
      </c>
      <c r="R13" s="2">
        <f>'Emp Sal Adj'!O$38</f>
        <v>0</v>
      </c>
    </row>
    <row r="14" spans="2:22" x14ac:dyDescent="0.25">
      <c r="B14" s="7"/>
      <c r="C14" s="13"/>
      <c r="D14" s="15"/>
      <c r="E14" s="108"/>
      <c r="F14" s="110">
        <f t="shared" ref="F14:K14" si="0">SUM(F12:F13)</f>
        <v>168976.3</v>
      </c>
      <c r="G14" s="110">
        <f t="shared" si="0"/>
        <v>83951</v>
      </c>
      <c r="H14" s="110">
        <f t="shared" si="0"/>
        <v>44926</v>
      </c>
      <c r="I14" s="110">
        <f t="shared" si="0"/>
        <v>24241</v>
      </c>
      <c r="J14" s="110">
        <f t="shared" si="0"/>
        <v>3180</v>
      </c>
      <c r="K14" s="110">
        <f t="shared" si="0"/>
        <v>0</v>
      </c>
      <c r="L14" s="3"/>
      <c r="N14" s="1">
        <f>SUM(G14:K14)</f>
        <v>156298</v>
      </c>
      <c r="O14" s="59"/>
      <c r="P14" s="59"/>
      <c r="Q14" s="59"/>
      <c r="R14" s="59"/>
    </row>
    <row r="15" spans="2:22" x14ac:dyDescent="0.25">
      <c r="B15" s="7"/>
      <c r="C15" s="13" t="s">
        <v>300</v>
      </c>
      <c r="D15" s="15"/>
      <c r="E15" s="108"/>
      <c r="F15" s="32"/>
      <c r="G15" s="4"/>
      <c r="H15" s="4"/>
      <c r="I15" s="4"/>
      <c r="J15" s="4"/>
      <c r="K15" s="4"/>
      <c r="L15" s="3"/>
      <c r="O15" s="59"/>
      <c r="P15" s="59"/>
      <c r="Q15" s="59"/>
      <c r="R15" s="59"/>
    </row>
    <row r="16" spans="2:22" x14ac:dyDescent="0.25">
      <c r="B16" s="7"/>
      <c r="C16" s="13"/>
      <c r="D16" s="15" t="str">
        <f>'Trial Balance'!O12</f>
        <v>Employee Benefits &amp; Taxes</v>
      </c>
      <c r="E16" s="108" t="str">
        <f>'Trial Balance'!E11</f>
        <v>Total Emp Retirement</v>
      </c>
      <c r="F16" s="32">
        <f>'Trial Balance'!M12</f>
        <v>41265</v>
      </c>
      <c r="G16" s="4">
        <f t="shared" ref="G16:H20" si="1">ROUND($F16*O16,0)</f>
        <v>22484</v>
      </c>
      <c r="H16" s="4">
        <f t="shared" si="1"/>
        <v>8720</v>
      </c>
      <c r="I16" s="4"/>
      <c r="J16" s="4">
        <f t="shared" ref="J16:J20" si="2">ROUND($F16*Q16,0)</f>
        <v>3874</v>
      </c>
      <c r="K16" s="4">
        <f t="shared" ref="K16:K20" si="3">ROUND($F16*R16,0)</f>
        <v>6187</v>
      </c>
      <c r="L16" s="3"/>
      <c r="O16" s="2">
        <f>'Emp Sal'!H$15</f>
        <v>0.54486000000000001</v>
      </c>
      <c r="P16" s="2">
        <f>'Emp Sal'!I$15</f>
        <v>0.21132000000000001</v>
      </c>
      <c r="Q16" s="2">
        <f>'Emp Sal'!J$15</f>
        <v>9.3890000000000001E-2</v>
      </c>
      <c r="R16" s="2">
        <f>'Emp Sal'!K$15</f>
        <v>0.14993000000000001</v>
      </c>
      <c r="U16" s="1">
        <f>SUM(G16:K16)</f>
        <v>41265</v>
      </c>
      <c r="V16" s="1">
        <f>U16-F16</f>
        <v>0</v>
      </c>
    </row>
    <row r="17" spans="2:22" x14ac:dyDescent="0.25">
      <c r="B17" s="7"/>
      <c r="C17" s="13"/>
      <c r="D17" s="15" t="str">
        <f>'Trial Balance'!O16</f>
        <v>Employee Benefits &amp; Taxes</v>
      </c>
      <c r="E17" s="108" t="str">
        <f>'Trial Balance'!E15</f>
        <v>Total FICA</v>
      </c>
      <c r="F17" s="32">
        <f>'Trial Balance'!M16</f>
        <v>18158.490000000002</v>
      </c>
      <c r="G17" s="4">
        <f t="shared" si="1"/>
        <v>9894</v>
      </c>
      <c r="H17" s="4">
        <f t="shared" si="1"/>
        <v>3837</v>
      </c>
      <c r="I17" s="4"/>
      <c r="J17" s="4">
        <f t="shared" si="2"/>
        <v>1705</v>
      </c>
      <c r="K17" s="4">
        <f t="shared" si="3"/>
        <v>2723</v>
      </c>
      <c r="L17" s="3"/>
      <c r="O17" s="2">
        <f>'Emp Sal'!H$15</f>
        <v>0.54486000000000001</v>
      </c>
      <c r="P17" s="2">
        <f>'Emp Sal'!I$15</f>
        <v>0.21132000000000001</v>
      </c>
      <c r="Q17" s="2">
        <f>'Emp Sal'!J$15</f>
        <v>9.3890000000000001E-2</v>
      </c>
      <c r="R17" s="2">
        <f>'Emp Sal'!K$15</f>
        <v>0.14993000000000001</v>
      </c>
      <c r="U17" s="1">
        <f>SUM(G17:K17)</f>
        <v>18159</v>
      </c>
      <c r="V17" s="1">
        <f>U17-F17</f>
        <v>0.50999999999839929</v>
      </c>
    </row>
    <row r="18" spans="2:22" x14ac:dyDescent="0.25">
      <c r="B18" s="7"/>
      <c r="C18" s="13"/>
      <c r="D18" s="15" t="str">
        <f>'Trial Balance'!O13</f>
        <v>Employee Benefits &amp; Taxes</v>
      </c>
      <c r="E18" s="108" t="str">
        <f>'Trial Balance'!E13</f>
        <v>Total Health/Med Ins</v>
      </c>
      <c r="F18" s="32">
        <f>'Trial Balance'!M14</f>
        <v>74019.55</v>
      </c>
      <c r="G18" s="4">
        <f>ROUND($F18*O18,0)-1</f>
        <v>40329</v>
      </c>
      <c r="H18" s="4">
        <f t="shared" si="1"/>
        <v>15642</v>
      </c>
      <c r="I18" s="4"/>
      <c r="J18" s="4">
        <f t="shared" si="2"/>
        <v>6950</v>
      </c>
      <c r="K18" s="4">
        <f t="shared" si="3"/>
        <v>11098</v>
      </c>
      <c r="L18" s="3"/>
      <c r="O18" s="2">
        <f>'Emp Sal'!H$15</f>
        <v>0.54486000000000001</v>
      </c>
      <c r="P18" s="2">
        <f>'Emp Sal'!I$15</f>
        <v>0.21132000000000001</v>
      </c>
      <c r="Q18" s="2">
        <f>'Emp Sal'!J$15</f>
        <v>9.3890000000000001E-2</v>
      </c>
      <c r="R18" s="2">
        <f>'Emp Sal'!K$15</f>
        <v>0.14993000000000001</v>
      </c>
      <c r="U18" s="1">
        <f>SUM(G18:K18)</f>
        <v>74019</v>
      </c>
      <c r="V18" s="1">
        <f>U18-F18</f>
        <v>-0.55000000000291038</v>
      </c>
    </row>
    <row r="19" spans="2:22" x14ac:dyDescent="0.25">
      <c r="B19" s="7"/>
      <c r="C19" s="13"/>
      <c r="D19" s="15" t="str">
        <f>'Trial Balance'!O18</f>
        <v>Employee Benefits &amp; Taxes</v>
      </c>
      <c r="E19" s="108" t="str">
        <f>'Trial Balance'!E18</f>
        <v>Total Unemployment</v>
      </c>
      <c r="F19" s="32">
        <f>'Trial Balance'!M18</f>
        <v>143</v>
      </c>
      <c r="G19" s="4">
        <f t="shared" si="1"/>
        <v>78</v>
      </c>
      <c r="H19" s="4">
        <f t="shared" si="1"/>
        <v>30</v>
      </c>
      <c r="I19" s="4"/>
      <c r="J19" s="4">
        <f t="shared" si="2"/>
        <v>13</v>
      </c>
      <c r="K19" s="4">
        <f t="shared" si="3"/>
        <v>21</v>
      </c>
      <c r="L19" s="3"/>
      <c r="O19" s="2">
        <f>'Emp Sal'!H$15</f>
        <v>0.54486000000000001</v>
      </c>
      <c r="P19" s="2">
        <f>'Emp Sal'!I$15</f>
        <v>0.21132000000000001</v>
      </c>
      <c r="Q19" s="2">
        <f>'Emp Sal'!J$15</f>
        <v>9.3890000000000001E-2</v>
      </c>
      <c r="R19" s="2">
        <f>'Emp Sal'!K$15</f>
        <v>0.14993000000000001</v>
      </c>
      <c r="U19" s="1">
        <f>SUM(G19:K19)</f>
        <v>142</v>
      </c>
      <c r="V19" s="1">
        <f>U19-F19</f>
        <v>-1</v>
      </c>
    </row>
    <row r="20" spans="2:22" x14ac:dyDescent="0.25">
      <c r="B20" s="7"/>
      <c r="C20" s="13"/>
      <c r="D20" s="15" t="str">
        <f>'Trial Balance'!O17</f>
        <v>Employee Benefits &amp; Taxes</v>
      </c>
      <c r="E20" s="108" t="str">
        <f>'Trial Balance'!E17</f>
        <v>Total Workers Comp</v>
      </c>
      <c r="F20" s="32">
        <f>'Trial Balance'!M17</f>
        <v>8762</v>
      </c>
      <c r="G20" s="4">
        <f t="shared" si="1"/>
        <v>4774</v>
      </c>
      <c r="H20" s="4">
        <f t="shared" si="1"/>
        <v>1852</v>
      </c>
      <c r="I20" s="4"/>
      <c r="J20" s="4">
        <f t="shared" si="2"/>
        <v>823</v>
      </c>
      <c r="K20" s="4">
        <f t="shared" si="3"/>
        <v>1314</v>
      </c>
      <c r="L20" s="3"/>
      <c r="O20" s="2">
        <f>'Emp Sal'!H$15</f>
        <v>0.54486000000000001</v>
      </c>
      <c r="P20" s="2">
        <f>'Emp Sal'!I$15</f>
        <v>0.21132000000000001</v>
      </c>
      <c r="Q20" s="2">
        <f>'Emp Sal'!J$15</f>
        <v>9.3890000000000001E-2</v>
      </c>
      <c r="R20" s="2">
        <f>'Emp Sal'!K$15</f>
        <v>0.14993000000000001</v>
      </c>
      <c r="U20" s="1">
        <f>SUM(G20:K20)</f>
        <v>8763</v>
      </c>
      <c r="V20" s="1">
        <f>U20-F20</f>
        <v>1</v>
      </c>
    </row>
    <row r="21" spans="2:22" x14ac:dyDescent="0.25">
      <c r="B21" s="7"/>
      <c r="C21" s="13"/>
      <c r="D21" s="109" t="s">
        <v>301</v>
      </c>
      <c r="E21" s="108"/>
      <c r="F21" s="110">
        <f>SUM(F16:F20)</f>
        <v>142348.04</v>
      </c>
      <c r="G21" s="110">
        <f t="shared" ref="G21:K21" si="4">SUM(G16:G20)</f>
        <v>77559</v>
      </c>
      <c r="H21" s="110">
        <f t="shared" si="4"/>
        <v>30081</v>
      </c>
      <c r="I21" s="110">
        <f t="shared" si="4"/>
        <v>0</v>
      </c>
      <c r="J21" s="110">
        <f t="shared" si="4"/>
        <v>13365</v>
      </c>
      <c r="K21" s="110">
        <f t="shared" si="4"/>
        <v>21343</v>
      </c>
      <c r="L21" s="3"/>
      <c r="N21" s="1">
        <f>SUM(G21:K21)</f>
        <v>142348</v>
      </c>
      <c r="O21" s="2"/>
      <c r="P21" s="2"/>
      <c r="Q21" s="2"/>
      <c r="R21" s="2"/>
    </row>
    <row r="22" spans="2:22" x14ac:dyDescent="0.25">
      <c r="B22" s="7"/>
      <c r="C22" s="13"/>
      <c r="D22" s="15"/>
      <c r="E22" s="108"/>
      <c r="F22" s="32"/>
      <c r="G22" s="4"/>
      <c r="H22" s="4"/>
      <c r="I22" s="4"/>
      <c r="J22" s="4"/>
      <c r="K22" s="4"/>
      <c r="L22" s="3"/>
      <c r="O22" s="63">
        <f>SUM(G21:K21)</f>
        <v>142348</v>
      </c>
      <c r="P22" s="2"/>
      <c r="Q22" s="2"/>
      <c r="R22" s="2"/>
    </row>
    <row r="23" spans="2:22" x14ac:dyDescent="0.25">
      <c r="B23" s="7"/>
      <c r="C23" s="13" t="s">
        <v>335</v>
      </c>
      <c r="D23" s="15"/>
      <c r="E23" s="108"/>
      <c r="F23" s="32"/>
      <c r="G23" s="4"/>
      <c r="H23" s="4"/>
      <c r="I23" s="4"/>
      <c r="J23" s="4"/>
      <c r="K23" s="4"/>
      <c r="L23" s="3"/>
      <c r="O23" s="63"/>
      <c r="P23" s="2"/>
      <c r="Q23" s="2"/>
      <c r="R23" s="2"/>
    </row>
    <row r="24" spans="2:22" x14ac:dyDescent="0.25">
      <c r="B24" s="7"/>
      <c r="C24" s="13"/>
      <c r="D24" s="15" t="s">
        <v>313</v>
      </c>
      <c r="E24" s="108" t="s">
        <v>313</v>
      </c>
      <c r="F24" s="32">
        <f>'Trial Balance'!M20</f>
        <v>66206.649999999994</v>
      </c>
      <c r="G24" s="4">
        <f>ROUND($F24*O24,0)</f>
        <v>62945</v>
      </c>
      <c r="H24" s="4">
        <f>ROUND($F24*P24,0)</f>
        <v>3262</v>
      </c>
      <c r="I24" s="4"/>
      <c r="J24" s="4">
        <f t="shared" ref="J24" si="5">ROUND($F24*Q24,0)</f>
        <v>0</v>
      </c>
      <c r="K24" s="4">
        <f t="shared" ref="K24" si="6">ROUND($F24*R24,0)</f>
        <v>0</v>
      </c>
      <c r="L24" s="3"/>
      <c r="N24" s="1">
        <f>SUM(G24:K24)</f>
        <v>66207</v>
      </c>
      <c r="O24" s="2">
        <f>Electricity!C28</f>
        <v>0.95072999999999996</v>
      </c>
      <c r="P24" s="2">
        <f>Electricity!D28</f>
        <v>4.9270000000000001E-2</v>
      </c>
      <c r="Q24" s="2"/>
      <c r="R24" s="2"/>
    </row>
    <row r="25" spans="2:22" x14ac:dyDescent="0.25">
      <c r="B25" s="7"/>
      <c r="C25" s="13"/>
      <c r="D25" s="15"/>
      <c r="E25" s="108"/>
      <c r="F25" s="32"/>
      <c r="G25" s="4"/>
      <c r="H25" s="4"/>
      <c r="I25" s="4"/>
      <c r="J25" s="4"/>
      <c r="K25" s="4"/>
      <c r="L25" s="3"/>
      <c r="O25" s="63"/>
      <c r="P25" s="2"/>
      <c r="Q25" s="2"/>
      <c r="R25" s="2"/>
    </row>
    <row r="26" spans="2:22" x14ac:dyDescent="0.25">
      <c r="B26" s="7"/>
      <c r="C26" s="13" t="s">
        <v>302</v>
      </c>
      <c r="D26" s="15"/>
      <c r="E26" s="108"/>
      <c r="F26" s="32"/>
      <c r="G26" s="4"/>
      <c r="H26" s="4"/>
      <c r="I26" s="4"/>
      <c r="J26" s="4"/>
      <c r="K26" s="4"/>
      <c r="L26" s="3"/>
      <c r="O26" s="2"/>
      <c r="P26" s="2"/>
      <c r="Q26" s="2"/>
      <c r="R26" s="2"/>
    </row>
    <row r="27" spans="2:22" x14ac:dyDescent="0.25">
      <c r="B27" s="7"/>
      <c r="C27" s="13"/>
      <c r="D27" s="15" t="str">
        <f>'Trial Balance'!O25</f>
        <v>General Expenses</v>
      </c>
      <c r="E27" s="108" t="str">
        <f>'Trial Balance'!E25</f>
        <v>AUDIT &amp; ACCOUNTING</v>
      </c>
      <c r="F27" s="32">
        <f>'Trial Balance'!M25</f>
        <v>1450</v>
      </c>
      <c r="G27" s="4">
        <f t="shared" ref="G27:G44" si="7">ROUND($F27*O27,0)</f>
        <v>0</v>
      </c>
      <c r="H27" s="4">
        <f t="shared" ref="H27:H44" si="8">ROUND($F27*P27,0)</f>
        <v>0</v>
      </c>
      <c r="I27" s="4"/>
      <c r="J27" s="4">
        <f t="shared" ref="J27:J44" si="9">ROUND($F27*Q27,0)</f>
        <v>0</v>
      </c>
      <c r="K27" s="4">
        <f t="shared" ref="K27:K44" si="10">ROUND($F27*R27,0)</f>
        <v>1450</v>
      </c>
      <c r="L27" s="3"/>
      <c r="O27" s="2"/>
      <c r="P27" s="2"/>
      <c r="Q27" s="2"/>
      <c r="R27" s="2">
        <v>1</v>
      </c>
      <c r="U27" s="1">
        <f t="shared" ref="U27:U44" si="11">SUM(G27:K27)</f>
        <v>1450</v>
      </c>
      <c r="V27" s="1">
        <f t="shared" ref="V27:V44" si="12">U27-F27</f>
        <v>0</v>
      </c>
    </row>
    <row r="28" spans="2:22" x14ac:dyDescent="0.25">
      <c r="B28" s="7"/>
      <c r="C28" s="13"/>
      <c r="D28" s="15" t="str">
        <f>'Trial Balance'!O48</f>
        <v>General Expenses</v>
      </c>
      <c r="E28" s="108" t="str">
        <f>'Trial Balance'!E48</f>
        <v>AUDIT &amp; ACCOUNTING</v>
      </c>
      <c r="F28" s="32">
        <f>'Trial Balance'!M48</f>
        <v>1491</v>
      </c>
      <c r="G28" s="4">
        <f t="shared" si="7"/>
        <v>0</v>
      </c>
      <c r="H28" s="4">
        <f t="shared" si="8"/>
        <v>0</v>
      </c>
      <c r="I28" s="4"/>
      <c r="J28" s="4">
        <f t="shared" si="9"/>
        <v>0</v>
      </c>
      <c r="K28" s="4">
        <f t="shared" si="10"/>
        <v>1491</v>
      </c>
      <c r="L28" s="3"/>
      <c r="O28" s="2"/>
      <c r="P28" s="2"/>
      <c r="Q28" s="2"/>
      <c r="R28" s="2">
        <v>1</v>
      </c>
      <c r="U28" s="1">
        <f t="shared" si="11"/>
        <v>1491</v>
      </c>
      <c r="V28" s="1">
        <f t="shared" si="12"/>
        <v>0</v>
      </c>
    </row>
    <row r="29" spans="2:22" x14ac:dyDescent="0.25">
      <c r="B29" s="7"/>
      <c r="C29" s="13"/>
      <c r="D29" s="15" t="str">
        <f>'Trial Balance'!O38</f>
        <v>General Expenses</v>
      </c>
      <c r="E29" s="108" t="str">
        <f>'Trial Balance'!E38</f>
        <v>CAPITAL OUTLAY</v>
      </c>
      <c r="F29" s="32">
        <f>'Trial Balance'!M38</f>
        <v>1664</v>
      </c>
      <c r="G29" s="4">
        <f t="shared" si="7"/>
        <v>832</v>
      </c>
      <c r="H29" s="4">
        <f t="shared" si="8"/>
        <v>832</v>
      </c>
      <c r="I29" s="4"/>
      <c r="J29" s="4">
        <f t="shared" si="9"/>
        <v>0</v>
      </c>
      <c r="K29" s="4">
        <f t="shared" si="10"/>
        <v>0</v>
      </c>
      <c r="L29" s="3"/>
      <c r="O29" s="2">
        <v>0.5</v>
      </c>
      <c r="P29" s="2">
        <v>0.5</v>
      </c>
      <c r="Q29" s="2">
        <v>0</v>
      </c>
      <c r="R29" s="2">
        <v>0</v>
      </c>
      <c r="U29" s="1">
        <f t="shared" si="11"/>
        <v>1664</v>
      </c>
      <c r="V29" s="1">
        <f t="shared" si="12"/>
        <v>0</v>
      </c>
    </row>
    <row r="30" spans="2:22" x14ac:dyDescent="0.25">
      <c r="B30" s="7"/>
      <c r="C30" s="13"/>
      <c r="D30" s="15" t="str">
        <f>'Trial Balance'!O36</f>
        <v>General Expenses</v>
      </c>
      <c r="E30" s="108" t="str">
        <f>'Trial Balance'!E36</f>
        <v>DUES/SUBSCRIPTIONS</v>
      </c>
      <c r="F30" s="32">
        <f>'Trial Balance'!M36</f>
        <v>462</v>
      </c>
      <c r="G30" s="4">
        <f t="shared" si="7"/>
        <v>0</v>
      </c>
      <c r="H30" s="4">
        <f t="shared" si="8"/>
        <v>0</v>
      </c>
      <c r="I30" s="4"/>
      <c r="J30" s="4">
        <f t="shared" si="9"/>
        <v>393</v>
      </c>
      <c r="K30" s="4">
        <f t="shared" si="10"/>
        <v>69</v>
      </c>
      <c r="L30" s="3"/>
      <c r="O30" s="2"/>
      <c r="P30" s="2"/>
      <c r="Q30" s="2">
        <v>0.85</v>
      </c>
      <c r="R30" s="2">
        <v>0.15</v>
      </c>
      <c r="U30" s="1">
        <f t="shared" si="11"/>
        <v>462</v>
      </c>
      <c r="V30" s="1">
        <f t="shared" si="12"/>
        <v>0</v>
      </c>
    </row>
    <row r="31" spans="2:22" x14ac:dyDescent="0.25">
      <c r="B31" s="7"/>
      <c r="C31" s="13"/>
      <c r="D31" s="15" t="str">
        <f>'Trial Balance'!O55</f>
        <v>General Expenses</v>
      </c>
      <c r="E31" s="108" t="str">
        <f>'Trial Balance'!E55</f>
        <v>DUES/SUBSCRIPTIONS</v>
      </c>
      <c r="F31" s="32">
        <f>'Trial Balance'!M55</f>
        <v>462</v>
      </c>
      <c r="G31" s="4">
        <f t="shared" si="7"/>
        <v>0</v>
      </c>
      <c r="H31" s="4">
        <f t="shared" si="8"/>
        <v>0</v>
      </c>
      <c r="I31" s="4"/>
      <c r="J31" s="4">
        <f t="shared" si="9"/>
        <v>393</v>
      </c>
      <c r="K31" s="4">
        <f t="shared" si="10"/>
        <v>69</v>
      </c>
      <c r="L31" s="3"/>
      <c r="O31" s="22"/>
      <c r="P31" s="22"/>
      <c r="Q31" s="2">
        <v>0.85</v>
      </c>
      <c r="R31" s="2">
        <v>0.15</v>
      </c>
      <c r="U31" s="1">
        <f t="shared" si="11"/>
        <v>462</v>
      </c>
      <c r="V31" s="1">
        <f t="shared" si="12"/>
        <v>0</v>
      </c>
    </row>
    <row r="32" spans="2:22" x14ac:dyDescent="0.25">
      <c r="B32" s="7"/>
      <c r="C32" s="13"/>
      <c r="D32" s="15" t="str">
        <f>'Trial Balance'!O37</f>
        <v>General Expenses</v>
      </c>
      <c r="E32" s="108" t="str">
        <f>'Trial Balance'!E37</f>
        <v>MISCELLANEOUS OTHER</v>
      </c>
      <c r="F32" s="32">
        <f>'Trial Balance'!M37</f>
        <v>1378</v>
      </c>
      <c r="G32" s="4">
        <f t="shared" si="7"/>
        <v>0</v>
      </c>
      <c r="H32" s="4">
        <f t="shared" si="8"/>
        <v>0</v>
      </c>
      <c r="I32" s="4"/>
      <c r="J32" s="4">
        <f t="shared" si="9"/>
        <v>1171</v>
      </c>
      <c r="K32" s="4">
        <f t="shared" si="10"/>
        <v>207</v>
      </c>
      <c r="L32" s="3"/>
      <c r="O32" s="2"/>
      <c r="P32" s="2"/>
      <c r="Q32" s="2">
        <v>0.85</v>
      </c>
      <c r="R32" s="2">
        <v>0.15</v>
      </c>
      <c r="U32" s="1">
        <f t="shared" si="11"/>
        <v>1378</v>
      </c>
      <c r="V32" s="1">
        <f t="shared" si="12"/>
        <v>0</v>
      </c>
    </row>
    <row r="33" spans="2:22" x14ac:dyDescent="0.25">
      <c r="B33" s="7"/>
      <c r="C33" s="13"/>
      <c r="D33" s="15" t="str">
        <f>'Trial Balance'!O56</f>
        <v>General Expenses</v>
      </c>
      <c r="E33" s="108" t="str">
        <f>'Trial Balance'!E56</f>
        <v>MISCELLANEOUS OTHER</v>
      </c>
      <c r="F33" s="32">
        <f>'Trial Balance'!M56</f>
        <v>201</v>
      </c>
      <c r="G33" s="4">
        <f t="shared" si="7"/>
        <v>0</v>
      </c>
      <c r="H33" s="4">
        <f t="shared" si="8"/>
        <v>0</v>
      </c>
      <c r="I33" s="4"/>
      <c r="J33" s="4">
        <f t="shared" si="9"/>
        <v>171</v>
      </c>
      <c r="K33" s="4">
        <f t="shared" si="10"/>
        <v>30</v>
      </c>
      <c r="L33" s="3"/>
      <c r="O33" s="22"/>
      <c r="P33" s="22"/>
      <c r="Q33" s="2">
        <v>0.85</v>
      </c>
      <c r="R33" s="2">
        <v>0.15</v>
      </c>
      <c r="U33" s="1">
        <f t="shared" si="11"/>
        <v>201</v>
      </c>
      <c r="V33" s="1">
        <f t="shared" si="12"/>
        <v>0</v>
      </c>
    </row>
    <row r="34" spans="2:22" x14ac:dyDescent="0.25">
      <c r="B34" s="7"/>
      <c r="C34" s="13"/>
      <c r="D34" s="15" t="str">
        <f>'Trial Balance'!O30</f>
        <v>General Expenses</v>
      </c>
      <c r="E34" s="108" t="str">
        <f>'Trial Balance'!E30</f>
        <v>POSTAGE</v>
      </c>
      <c r="F34" s="32">
        <f>'Trial Balance'!M30</f>
        <v>1177</v>
      </c>
      <c r="G34" s="4">
        <f t="shared" si="7"/>
        <v>0</v>
      </c>
      <c r="H34" s="4">
        <f t="shared" si="8"/>
        <v>0</v>
      </c>
      <c r="I34" s="4"/>
      <c r="J34" s="4">
        <f t="shared" si="9"/>
        <v>1177</v>
      </c>
      <c r="K34" s="4">
        <f t="shared" si="10"/>
        <v>0</v>
      </c>
      <c r="L34" s="3"/>
      <c r="O34" s="2"/>
      <c r="P34" s="2"/>
      <c r="Q34" s="2">
        <v>1</v>
      </c>
      <c r="R34" s="2"/>
      <c r="U34" s="1">
        <f t="shared" si="11"/>
        <v>1177</v>
      </c>
      <c r="V34" s="1">
        <f t="shared" si="12"/>
        <v>0</v>
      </c>
    </row>
    <row r="35" spans="2:22" x14ac:dyDescent="0.25">
      <c r="B35" s="7"/>
      <c r="C35" s="13"/>
      <c r="D35" s="15" t="str">
        <f>'Trial Balance'!O51</f>
        <v>General Expenses</v>
      </c>
      <c r="E35" s="108" t="str">
        <f>'Trial Balance'!E51</f>
        <v>POSTAGE</v>
      </c>
      <c r="F35" s="32">
        <f>'Trial Balance'!M51</f>
        <v>1142</v>
      </c>
      <c r="G35" s="4">
        <f t="shared" si="7"/>
        <v>0</v>
      </c>
      <c r="H35" s="4">
        <f t="shared" si="8"/>
        <v>0</v>
      </c>
      <c r="I35" s="4"/>
      <c r="J35" s="4">
        <f t="shared" si="9"/>
        <v>1142</v>
      </c>
      <c r="K35" s="4">
        <f t="shared" si="10"/>
        <v>0</v>
      </c>
      <c r="L35" s="3"/>
      <c r="O35" s="2"/>
      <c r="P35" s="2"/>
      <c r="Q35" s="2">
        <v>1</v>
      </c>
      <c r="R35" s="2"/>
      <c r="U35" s="1">
        <f t="shared" si="11"/>
        <v>1142</v>
      </c>
      <c r="V35" s="1">
        <f t="shared" si="12"/>
        <v>0</v>
      </c>
    </row>
    <row r="36" spans="2:22" x14ac:dyDescent="0.25">
      <c r="B36" s="7"/>
      <c r="C36" s="13"/>
      <c r="D36" s="15" t="str">
        <f>'Trial Balance'!O24</f>
        <v>General Expenses</v>
      </c>
      <c r="E36" s="108" t="str">
        <f>'Trial Balance'!E24</f>
        <v>PRINTING LEASE SOFTWARE</v>
      </c>
      <c r="F36" s="32">
        <f>'Trial Balance'!M24</f>
        <v>11397</v>
      </c>
      <c r="G36" s="4">
        <f t="shared" si="7"/>
        <v>0</v>
      </c>
      <c r="H36" s="4">
        <f t="shared" si="8"/>
        <v>0</v>
      </c>
      <c r="I36" s="4"/>
      <c r="J36" s="4">
        <f>ROUND($F36*Q36,0)-1</f>
        <v>11396</v>
      </c>
      <c r="K36" s="4">
        <f t="shared" si="10"/>
        <v>0</v>
      </c>
      <c r="L36" s="3"/>
      <c r="O36" s="2"/>
      <c r="P36" s="2"/>
      <c r="Q36" s="2">
        <v>1</v>
      </c>
      <c r="R36" s="2"/>
      <c r="U36" s="1">
        <f t="shared" si="11"/>
        <v>11396</v>
      </c>
      <c r="V36" s="1">
        <f t="shared" si="12"/>
        <v>-1</v>
      </c>
    </row>
    <row r="37" spans="2:22" x14ac:dyDescent="0.25">
      <c r="B37" s="7"/>
      <c r="C37" s="13"/>
      <c r="D37" s="15" t="str">
        <f>'Trial Balance'!O47</f>
        <v>General Expenses</v>
      </c>
      <c r="E37" s="108" t="str">
        <f>'Trial Balance'!E47</f>
        <v>PRINTING LEASE SOFTWARE</v>
      </c>
      <c r="F37" s="32">
        <f>'Trial Balance'!M47</f>
        <v>10696</v>
      </c>
      <c r="G37" s="4">
        <f t="shared" si="7"/>
        <v>0</v>
      </c>
      <c r="H37" s="4">
        <f t="shared" si="8"/>
        <v>0</v>
      </c>
      <c r="I37" s="4"/>
      <c r="J37" s="4">
        <f t="shared" si="9"/>
        <v>10696</v>
      </c>
      <c r="K37" s="4">
        <f t="shared" si="10"/>
        <v>0</v>
      </c>
      <c r="L37" s="3"/>
      <c r="O37" s="2"/>
      <c r="P37" s="2"/>
      <c r="Q37" s="2">
        <v>1</v>
      </c>
      <c r="R37" s="2"/>
      <c r="U37" s="1">
        <f t="shared" si="11"/>
        <v>10696</v>
      </c>
      <c r="V37" s="1">
        <f t="shared" si="12"/>
        <v>0</v>
      </c>
    </row>
    <row r="38" spans="2:22" x14ac:dyDescent="0.25">
      <c r="B38" s="7"/>
      <c r="C38" s="13"/>
      <c r="D38" s="15" t="str">
        <f>'Trial Balance'!O33</f>
        <v>General Expenses</v>
      </c>
      <c r="E38" s="108" t="str">
        <f>'Trial Balance'!E32</f>
        <v>SAFETY</v>
      </c>
      <c r="F38" s="32">
        <f>'Trial Balance'!M32</f>
        <v>555</v>
      </c>
      <c r="G38" s="4">
        <f t="shared" si="7"/>
        <v>284</v>
      </c>
      <c r="H38" s="4">
        <f t="shared" si="8"/>
        <v>114</v>
      </c>
      <c r="I38" s="4"/>
      <c r="J38" s="4">
        <f t="shared" si="9"/>
        <v>31</v>
      </c>
      <c r="K38" s="4">
        <f t="shared" si="10"/>
        <v>126</v>
      </c>
      <c r="L38" s="3"/>
      <c r="O38" s="2">
        <f>'Emp Sal Adj'!L$19</f>
        <v>0.51088999999999996</v>
      </c>
      <c r="P38" s="2">
        <f>'Emp Sal Adj'!M$19</f>
        <v>0.20602000000000001</v>
      </c>
      <c r="Q38" s="2">
        <f>'Emp Sal Adj'!N$19</f>
        <v>5.5939999999999997E-2</v>
      </c>
      <c r="R38" s="2">
        <f>'Emp Sal Adj'!O$19</f>
        <v>0.22714999999999999</v>
      </c>
      <c r="U38" s="1">
        <f t="shared" si="11"/>
        <v>555</v>
      </c>
      <c r="V38" s="1">
        <f t="shared" si="12"/>
        <v>0</v>
      </c>
    </row>
    <row r="39" spans="2:22" x14ac:dyDescent="0.25">
      <c r="B39" s="7"/>
      <c r="C39" s="13"/>
      <c r="D39" s="15" t="str">
        <f>'Trial Balance'!O29</f>
        <v>General Expenses</v>
      </c>
      <c r="E39" s="108" t="str">
        <f>'Trial Balance'!E29</f>
        <v>SCHOOL/TRAINING/LICENSES</v>
      </c>
      <c r="F39" s="32">
        <f>'Trial Balance'!M29</f>
        <v>987</v>
      </c>
      <c r="G39" s="4">
        <f t="shared" si="7"/>
        <v>504</v>
      </c>
      <c r="H39" s="4">
        <f t="shared" si="8"/>
        <v>203</v>
      </c>
      <c r="I39" s="4"/>
      <c r="J39" s="4">
        <f t="shared" si="9"/>
        <v>55</v>
      </c>
      <c r="K39" s="4">
        <f t="shared" si="10"/>
        <v>224</v>
      </c>
      <c r="L39" s="3"/>
      <c r="O39" s="2">
        <f>'Emp Sal Adj'!L$19</f>
        <v>0.51088999999999996</v>
      </c>
      <c r="P39" s="2">
        <f>'Emp Sal Adj'!M$19</f>
        <v>0.20602000000000001</v>
      </c>
      <c r="Q39" s="2">
        <f>'Emp Sal Adj'!N$19</f>
        <v>5.5939999999999997E-2</v>
      </c>
      <c r="R39" s="2">
        <f>'Emp Sal Adj'!O$19</f>
        <v>0.22714999999999999</v>
      </c>
      <c r="U39" s="1">
        <f t="shared" si="11"/>
        <v>986</v>
      </c>
      <c r="V39" s="1">
        <f t="shared" si="12"/>
        <v>-1</v>
      </c>
    </row>
    <row r="40" spans="2:22" x14ac:dyDescent="0.25">
      <c r="B40" s="7"/>
      <c r="C40" s="13"/>
      <c r="D40" s="15" t="str">
        <f>'Trial Balance'!O33</f>
        <v>General Expenses</v>
      </c>
      <c r="E40" s="108" t="str">
        <f>'Trial Balance'!E33</f>
        <v>SUPPLIES</v>
      </c>
      <c r="F40" s="32">
        <f>'Trial Balance'!M33</f>
        <v>8862</v>
      </c>
      <c r="G40" s="4">
        <f t="shared" si="7"/>
        <v>4528</v>
      </c>
      <c r="H40" s="4">
        <f t="shared" si="8"/>
        <v>1826</v>
      </c>
      <c r="I40" s="4"/>
      <c r="J40" s="4">
        <f t="shared" si="9"/>
        <v>496</v>
      </c>
      <c r="K40" s="4">
        <f t="shared" si="10"/>
        <v>2013</v>
      </c>
      <c r="L40" s="3"/>
      <c r="O40" s="2">
        <f>'Emp Sal Adj'!L$19</f>
        <v>0.51088999999999996</v>
      </c>
      <c r="P40" s="2">
        <f>'Emp Sal Adj'!M$19</f>
        <v>0.20602000000000001</v>
      </c>
      <c r="Q40" s="2">
        <f>'Emp Sal Adj'!N$19</f>
        <v>5.5939999999999997E-2</v>
      </c>
      <c r="R40" s="2">
        <f>'Emp Sal Adj'!O$19</f>
        <v>0.22714999999999999</v>
      </c>
      <c r="U40" s="1">
        <f t="shared" si="11"/>
        <v>8863</v>
      </c>
      <c r="V40" s="1">
        <f t="shared" si="12"/>
        <v>1</v>
      </c>
    </row>
    <row r="41" spans="2:22" x14ac:dyDescent="0.25">
      <c r="B41" s="7"/>
      <c r="C41" s="13"/>
      <c r="D41" s="15" t="str">
        <f>'Trial Balance'!O52</f>
        <v>General Expenses</v>
      </c>
      <c r="E41" s="108" t="str">
        <f>'Trial Balance'!E52</f>
        <v>SUPPLIES</v>
      </c>
      <c r="F41" s="32">
        <f>'Trial Balance'!M52</f>
        <v>9118</v>
      </c>
      <c r="G41" s="4">
        <f t="shared" si="7"/>
        <v>4658</v>
      </c>
      <c r="H41" s="4">
        <f t="shared" si="8"/>
        <v>1878</v>
      </c>
      <c r="I41" s="4"/>
      <c r="J41" s="4">
        <f t="shared" si="9"/>
        <v>510</v>
      </c>
      <c r="K41" s="4">
        <f t="shared" si="10"/>
        <v>2071</v>
      </c>
      <c r="L41" s="3"/>
      <c r="O41" s="2">
        <f>'Emp Sal Adj'!L$19</f>
        <v>0.51088999999999996</v>
      </c>
      <c r="P41" s="2">
        <f>'Emp Sal Adj'!M$19</f>
        <v>0.20602000000000001</v>
      </c>
      <c r="Q41" s="2">
        <f>'Emp Sal Adj'!N$19</f>
        <v>5.5939999999999997E-2</v>
      </c>
      <c r="R41" s="2">
        <f>'Emp Sal Adj'!O$19</f>
        <v>0.22714999999999999</v>
      </c>
      <c r="U41" s="1">
        <f t="shared" si="11"/>
        <v>9117</v>
      </c>
      <c r="V41" s="1">
        <f t="shared" si="12"/>
        <v>-1</v>
      </c>
    </row>
    <row r="42" spans="2:22" x14ac:dyDescent="0.25">
      <c r="B42" s="7"/>
      <c r="C42" s="13"/>
      <c r="D42" s="15" t="str">
        <f>'Trial Balance'!O31</f>
        <v>General Expenses</v>
      </c>
      <c r="E42" s="108" t="str">
        <f>'Trial Balance'!E31</f>
        <v>TELEPHONE</v>
      </c>
      <c r="F42" s="32">
        <f>'Trial Balance'!M31</f>
        <v>6160</v>
      </c>
      <c r="G42" s="4">
        <f t="shared" si="7"/>
        <v>0</v>
      </c>
      <c r="H42" s="4">
        <f t="shared" si="8"/>
        <v>0</v>
      </c>
      <c r="I42" s="4"/>
      <c r="J42" s="4">
        <f t="shared" si="9"/>
        <v>5236</v>
      </c>
      <c r="K42" s="4">
        <f t="shared" si="10"/>
        <v>924</v>
      </c>
      <c r="L42" s="3"/>
      <c r="O42" s="22"/>
      <c r="P42" s="22"/>
      <c r="Q42" s="2">
        <v>0.85</v>
      </c>
      <c r="R42" s="2">
        <v>0.15</v>
      </c>
      <c r="U42" s="1">
        <f t="shared" si="11"/>
        <v>6160</v>
      </c>
      <c r="V42" s="1">
        <f t="shared" si="12"/>
        <v>0</v>
      </c>
    </row>
    <row r="43" spans="2:22" x14ac:dyDescent="0.25">
      <c r="B43" s="7"/>
      <c r="C43" s="13"/>
      <c r="D43" s="15" t="str">
        <f>'Trial Balance'!O34</f>
        <v>General Expenses</v>
      </c>
      <c r="E43" s="108" t="str">
        <f>'Trial Balance'!E34</f>
        <v>UNIFORMS/ACCESSORIES</v>
      </c>
      <c r="F43" s="32">
        <f>'Trial Balance'!M34</f>
        <v>1386</v>
      </c>
      <c r="G43" s="4">
        <f t="shared" si="7"/>
        <v>708</v>
      </c>
      <c r="H43" s="4">
        <f t="shared" si="8"/>
        <v>286</v>
      </c>
      <c r="I43" s="4"/>
      <c r="J43" s="4">
        <f t="shared" si="9"/>
        <v>78</v>
      </c>
      <c r="K43" s="4">
        <f t="shared" si="10"/>
        <v>315</v>
      </c>
      <c r="L43" s="3"/>
      <c r="O43" s="2">
        <f>'Emp Sal Adj'!L$19</f>
        <v>0.51088999999999996</v>
      </c>
      <c r="P43" s="2">
        <f>'Emp Sal Adj'!M$19</f>
        <v>0.20602000000000001</v>
      </c>
      <c r="Q43" s="2">
        <f>'Emp Sal Adj'!N$19</f>
        <v>5.5939999999999997E-2</v>
      </c>
      <c r="R43" s="2">
        <f>'Emp Sal Adj'!O$19</f>
        <v>0.22714999999999999</v>
      </c>
      <c r="U43" s="1">
        <f t="shared" si="11"/>
        <v>1387</v>
      </c>
      <c r="V43" s="1">
        <f t="shared" si="12"/>
        <v>1</v>
      </c>
    </row>
    <row r="44" spans="2:22" x14ac:dyDescent="0.25">
      <c r="B44" s="7"/>
      <c r="C44" s="13"/>
      <c r="D44" s="15" t="str">
        <f>'Trial Balance'!O53</f>
        <v>General Expenses</v>
      </c>
      <c r="E44" s="108" t="str">
        <f>'Trial Balance'!E53</f>
        <v>UNIFORMS/ACCESSORIES</v>
      </c>
      <c r="F44" s="32">
        <f>'Trial Balance'!M53</f>
        <v>1391</v>
      </c>
      <c r="G44" s="4">
        <f t="shared" si="7"/>
        <v>711</v>
      </c>
      <c r="H44" s="4">
        <f t="shared" si="8"/>
        <v>287</v>
      </c>
      <c r="I44" s="4"/>
      <c r="J44" s="4">
        <f t="shared" si="9"/>
        <v>78</v>
      </c>
      <c r="K44" s="4">
        <f t="shared" si="10"/>
        <v>316</v>
      </c>
      <c r="L44" s="3"/>
      <c r="O44" s="2">
        <f>'Emp Sal Adj'!L$19</f>
        <v>0.51088999999999996</v>
      </c>
      <c r="P44" s="2">
        <f>'Emp Sal Adj'!M$19</f>
        <v>0.20602000000000001</v>
      </c>
      <c r="Q44" s="2">
        <f>'Emp Sal Adj'!N$19</f>
        <v>5.5939999999999997E-2</v>
      </c>
      <c r="R44" s="2">
        <f>'Emp Sal Adj'!O$19</f>
        <v>0.22714999999999999</v>
      </c>
      <c r="U44" s="1">
        <f t="shared" si="11"/>
        <v>1392</v>
      </c>
      <c r="V44" s="1">
        <f t="shared" si="12"/>
        <v>1</v>
      </c>
    </row>
    <row r="45" spans="2:22" x14ac:dyDescent="0.25">
      <c r="B45" s="7"/>
      <c r="C45" s="13"/>
      <c r="D45" s="109" t="s">
        <v>303</v>
      </c>
      <c r="E45" s="108"/>
      <c r="F45" s="110">
        <f>SUM(F27:F44)</f>
        <v>59979</v>
      </c>
      <c r="G45" s="110">
        <f t="shared" ref="G45:K45" si="13">SUM(G27:G44)</f>
        <v>12225</v>
      </c>
      <c r="H45" s="110">
        <f t="shared" si="13"/>
        <v>5426</v>
      </c>
      <c r="I45" s="110">
        <f t="shared" si="13"/>
        <v>0</v>
      </c>
      <c r="J45" s="110">
        <f t="shared" si="13"/>
        <v>33023</v>
      </c>
      <c r="K45" s="110">
        <f t="shared" si="13"/>
        <v>9305</v>
      </c>
      <c r="L45" s="3"/>
      <c r="N45" s="1">
        <f>SUM(G45:K45)</f>
        <v>59979</v>
      </c>
      <c r="O45" s="2"/>
      <c r="P45" s="2"/>
      <c r="Q45" s="2"/>
      <c r="R45" s="2"/>
    </row>
    <row r="46" spans="2:22" x14ac:dyDescent="0.25">
      <c r="B46" s="7"/>
      <c r="C46" s="13"/>
      <c r="D46" s="15"/>
      <c r="E46" s="108"/>
      <c r="F46" s="32"/>
      <c r="G46" s="4"/>
      <c r="H46" s="4"/>
      <c r="I46" s="4"/>
      <c r="J46" s="4"/>
      <c r="K46" s="4"/>
      <c r="L46" s="3"/>
      <c r="O46" s="63">
        <f>SUM(G45:K45)</f>
        <v>59979</v>
      </c>
      <c r="P46" s="2"/>
      <c r="Q46" s="2"/>
      <c r="R46" s="2"/>
    </row>
    <row r="47" spans="2:22" x14ac:dyDescent="0.25">
      <c r="B47" s="7"/>
      <c r="C47" s="13" t="s">
        <v>304</v>
      </c>
      <c r="D47" s="15"/>
      <c r="E47" s="108"/>
      <c r="F47" s="32"/>
      <c r="G47" s="4"/>
      <c r="H47" s="4"/>
      <c r="I47" s="4"/>
      <c r="J47" s="4"/>
      <c r="K47" s="4"/>
      <c r="L47" s="3"/>
      <c r="O47" s="2"/>
      <c r="P47" s="2"/>
      <c r="Q47" s="2"/>
      <c r="R47" s="2"/>
    </row>
    <row r="48" spans="2:22" x14ac:dyDescent="0.25">
      <c r="B48" s="7"/>
      <c r="C48" s="13"/>
      <c r="D48" s="15" t="s">
        <v>68</v>
      </c>
      <c r="E48" s="108" t="str">
        <f>'Trial Balance'!E27</f>
        <v>FLOOD INSURANCE</v>
      </c>
      <c r="F48" s="32">
        <f>'Trial Balance'!M27</f>
        <v>13790</v>
      </c>
      <c r="G48" s="4">
        <f t="shared" ref="G48:H49" si="14">ROUND($F48*O48,0)</f>
        <v>6895</v>
      </c>
      <c r="H48" s="4">
        <f t="shared" si="14"/>
        <v>6895</v>
      </c>
      <c r="I48" s="4"/>
      <c r="J48" s="4">
        <f t="shared" ref="J48:J50" si="15">ROUND($F48*Q48,0)</f>
        <v>0</v>
      </c>
      <c r="K48" s="4">
        <f t="shared" ref="K48:K50" si="16">ROUND($F48*R48,0)</f>
        <v>0</v>
      </c>
      <c r="L48" s="3"/>
      <c r="O48" s="2">
        <v>0.5</v>
      </c>
      <c r="P48" s="2">
        <v>0.5</v>
      </c>
      <c r="Q48" s="2"/>
      <c r="R48" s="2"/>
      <c r="U48" s="1">
        <f>SUM(G48:K48)</f>
        <v>13790</v>
      </c>
      <c r="V48" s="1">
        <f>U48-F48</f>
        <v>0</v>
      </c>
    </row>
    <row r="49" spans="2:22" x14ac:dyDescent="0.25">
      <c r="B49" s="7"/>
      <c r="C49" s="13"/>
      <c r="D49" s="15" t="str">
        <f>'Trial Balance'!O26</f>
        <v>Insurance</v>
      </c>
      <c r="E49" s="108" t="str">
        <f>'Trial Balance'!E26</f>
        <v>GENERAL INS</v>
      </c>
      <c r="F49" s="32">
        <f>'Trial Balance'!M26</f>
        <v>23443</v>
      </c>
      <c r="G49" s="4">
        <f t="shared" si="14"/>
        <v>11722</v>
      </c>
      <c r="H49" s="4">
        <f t="shared" si="14"/>
        <v>11722</v>
      </c>
      <c r="I49" s="4"/>
      <c r="J49" s="4">
        <f t="shared" si="15"/>
        <v>0</v>
      </c>
      <c r="K49" s="4">
        <f t="shared" si="16"/>
        <v>0</v>
      </c>
      <c r="L49" s="3"/>
      <c r="O49" s="2">
        <v>0.5</v>
      </c>
      <c r="P49" s="2">
        <v>0.5</v>
      </c>
      <c r="Q49" s="2"/>
      <c r="R49" s="2"/>
      <c r="U49" s="1">
        <f>SUM(G49:K49)</f>
        <v>23444</v>
      </c>
      <c r="V49" s="1">
        <f>U49-F49</f>
        <v>1</v>
      </c>
    </row>
    <row r="50" spans="2:22" x14ac:dyDescent="0.25">
      <c r="B50" s="7"/>
      <c r="C50" s="13"/>
      <c r="D50" s="15" t="str">
        <f>'Trial Balance'!O49</f>
        <v>Insurance</v>
      </c>
      <c r="E50" s="108" t="str">
        <f>'Trial Balance'!E49</f>
        <v>GENERAL INS</v>
      </c>
      <c r="F50" s="32">
        <f>'Trial Balance'!M49</f>
        <v>25057</v>
      </c>
      <c r="G50" s="4">
        <f>ROUND($F50*O50,0)-1</f>
        <v>12528</v>
      </c>
      <c r="H50" s="4">
        <f>ROUND($F50*P50,0)-1</f>
        <v>12528</v>
      </c>
      <c r="I50" s="4"/>
      <c r="J50" s="4">
        <f t="shared" si="15"/>
        <v>0</v>
      </c>
      <c r="K50" s="4">
        <f t="shared" si="16"/>
        <v>0</v>
      </c>
      <c r="L50" s="3"/>
      <c r="O50" s="2">
        <v>0.5</v>
      </c>
      <c r="P50" s="2">
        <v>0.5</v>
      </c>
      <c r="Q50" s="2"/>
      <c r="R50" s="2"/>
      <c r="U50" s="1">
        <f>SUM(G50:K50)</f>
        <v>25056</v>
      </c>
      <c r="V50" s="1">
        <f>U50-F50</f>
        <v>-1</v>
      </c>
    </row>
    <row r="51" spans="2:22" x14ac:dyDescent="0.25">
      <c r="B51" s="7"/>
      <c r="C51" s="13"/>
      <c r="D51" s="109" t="s">
        <v>305</v>
      </c>
      <c r="E51" s="108"/>
      <c r="F51" s="110">
        <f>SUM(F48:F50)</f>
        <v>62290</v>
      </c>
      <c r="G51" s="110">
        <f t="shared" ref="G51:K51" si="17">SUM(G48:G50)</f>
        <v>31145</v>
      </c>
      <c r="H51" s="110">
        <f t="shared" si="17"/>
        <v>31145</v>
      </c>
      <c r="I51" s="110">
        <f t="shared" si="17"/>
        <v>0</v>
      </c>
      <c r="J51" s="110">
        <f t="shared" si="17"/>
        <v>0</v>
      </c>
      <c r="K51" s="110">
        <f t="shared" si="17"/>
        <v>0</v>
      </c>
      <c r="L51" s="3"/>
      <c r="N51" s="1">
        <f>SUM(G51:K51)</f>
        <v>62290</v>
      </c>
      <c r="O51" s="2"/>
      <c r="P51" s="2"/>
      <c r="Q51" s="2"/>
      <c r="R51" s="2"/>
    </row>
    <row r="52" spans="2:22" x14ac:dyDescent="0.25">
      <c r="B52" s="7"/>
      <c r="C52" s="13"/>
      <c r="D52" s="15"/>
      <c r="E52" s="108"/>
      <c r="F52" s="32"/>
      <c r="G52" s="4"/>
      <c r="H52" s="4"/>
      <c r="I52" s="4"/>
      <c r="J52" s="4"/>
      <c r="K52" s="4"/>
      <c r="L52" s="3"/>
      <c r="O52" s="63">
        <f>SUM(G51:K51)</f>
        <v>62290</v>
      </c>
      <c r="P52" s="2"/>
      <c r="Q52" s="2"/>
      <c r="R52" s="2"/>
    </row>
    <row r="53" spans="2:22" x14ac:dyDescent="0.25">
      <c r="B53" s="7"/>
      <c r="C53" s="13" t="s">
        <v>306</v>
      </c>
      <c r="D53" s="15"/>
      <c r="E53" s="108"/>
      <c r="F53" s="32"/>
      <c r="G53" s="4"/>
      <c r="H53" s="4"/>
      <c r="I53" s="4"/>
      <c r="J53" s="4"/>
      <c r="K53" s="4"/>
      <c r="L53" s="3"/>
      <c r="O53" s="2"/>
      <c r="P53" s="2"/>
      <c r="Q53" s="2"/>
      <c r="R53" s="2"/>
    </row>
    <row r="54" spans="2:22" x14ac:dyDescent="0.25">
      <c r="B54" s="7"/>
      <c r="C54" s="13"/>
      <c r="D54" s="15" t="str">
        <f>'Trial Balance'!O22</f>
        <v>Laboratory</v>
      </c>
      <c r="E54" s="108" t="str">
        <f>'Trial Balance'!E22</f>
        <v>CONSULTING &amp; ANALYSIS</v>
      </c>
      <c r="F54" s="110">
        <f>ROUND('Trial Balance'!M22,0)</f>
        <v>9183</v>
      </c>
      <c r="G54" s="4">
        <f>ROUND($F54*O54,0)</f>
        <v>9183</v>
      </c>
      <c r="H54" s="4">
        <f>ROUND($F54*P54,0)</f>
        <v>0</v>
      </c>
      <c r="I54" s="4"/>
      <c r="J54" s="4">
        <f>ROUND($F54*Q54,0)</f>
        <v>0</v>
      </c>
      <c r="K54" s="4">
        <f>ROUND($F54*R54,0)</f>
        <v>0</v>
      </c>
      <c r="L54" s="3"/>
      <c r="N54" s="1">
        <f>SUM(G54:K54)</f>
        <v>9183</v>
      </c>
      <c r="O54" s="2">
        <v>1</v>
      </c>
      <c r="P54" s="2"/>
      <c r="Q54" s="2"/>
      <c r="R54" s="2"/>
      <c r="U54" s="1">
        <f>SUM(G54:K54)</f>
        <v>9183</v>
      </c>
      <c r="V54" s="1">
        <f>U54-F54</f>
        <v>0</v>
      </c>
    </row>
    <row r="55" spans="2:22" x14ac:dyDescent="0.25">
      <c r="B55" s="7"/>
      <c r="C55" s="13"/>
      <c r="D55" s="15"/>
      <c r="E55" s="108"/>
      <c r="F55" s="32"/>
      <c r="G55" s="4"/>
      <c r="H55" s="4"/>
      <c r="I55" s="4"/>
      <c r="J55" s="4"/>
      <c r="K55" s="4"/>
      <c r="L55" s="3"/>
      <c r="O55" s="2"/>
      <c r="P55" s="2"/>
      <c r="Q55" s="2"/>
      <c r="R55" s="2"/>
    </row>
    <row r="56" spans="2:22" x14ac:dyDescent="0.25">
      <c r="B56" s="7"/>
      <c r="C56" s="13" t="s">
        <v>307</v>
      </c>
      <c r="D56" s="15"/>
      <c r="E56" s="108"/>
      <c r="F56" s="32"/>
      <c r="G56" s="4"/>
      <c r="H56" s="4"/>
      <c r="I56" s="4"/>
      <c r="J56" s="4"/>
      <c r="K56" s="4"/>
      <c r="L56" s="3"/>
      <c r="O56" s="2"/>
      <c r="P56" s="2"/>
      <c r="Q56" s="2"/>
      <c r="R56" s="2"/>
    </row>
    <row r="57" spans="2:22" x14ac:dyDescent="0.25">
      <c r="B57" s="7"/>
      <c r="C57" s="95"/>
      <c r="D57" s="15" t="s">
        <v>218</v>
      </c>
      <c r="E57" s="108" t="str">
        <f>'Trial Balance'!E57</f>
        <v>CAPITAL OUTLAY</v>
      </c>
      <c r="F57" s="32">
        <f>'Trial Balance'!M57</f>
        <v>1664</v>
      </c>
      <c r="G57" s="4">
        <f t="shared" ref="G57:H62" si="18">ROUND($F57*O57,0)</f>
        <v>832</v>
      </c>
      <c r="H57" s="4">
        <f t="shared" si="18"/>
        <v>832</v>
      </c>
      <c r="I57" s="4"/>
      <c r="J57" s="4">
        <f t="shared" ref="J57:J62" si="19">ROUND($F57*Q57,0)</f>
        <v>0</v>
      </c>
      <c r="K57" s="4">
        <f t="shared" ref="K57:K62" si="20">ROUND($F57*R57,0)</f>
        <v>0</v>
      </c>
      <c r="L57" s="3"/>
      <c r="O57" s="2">
        <v>0.5</v>
      </c>
      <c r="P57" s="2">
        <v>0.5</v>
      </c>
      <c r="Q57" s="2"/>
      <c r="R57" s="2"/>
      <c r="U57" s="1">
        <f t="shared" ref="U57:U62" si="21">SUM(G57:K57)</f>
        <v>1664</v>
      </c>
      <c r="V57" s="1">
        <f t="shared" ref="V57:V62" si="22">U57-F57</f>
        <v>0</v>
      </c>
    </row>
    <row r="58" spans="2:22" x14ac:dyDescent="0.25">
      <c r="B58" s="7"/>
      <c r="C58" s="95"/>
      <c r="D58" s="15" t="s">
        <v>218</v>
      </c>
      <c r="E58" s="108" t="str">
        <f>'Trial Balance'!E60</f>
        <v>CWP EXPENSE</v>
      </c>
      <c r="F58" s="32">
        <f>'Trial Balance'!M60</f>
        <v>2625</v>
      </c>
      <c r="G58" s="4">
        <f t="shared" si="18"/>
        <v>1313</v>
      </c>
      <c r="H58" s="4">
        <f t="shared" si="18"/>
        <v>1313</v>
      </c>
      <c r="I58" s="4"/>
      <c r="J58" s="4">
        <f t="shared" si="19"/>
        <v>0</v>
      </c>
      <c r="K58" s="4">
        <f t="shared" si="20"/>
        <v>0</v>
      </c>
      <c r="L58" s="3"/>
      <c r="O58" s="2">
        <v>0.5</v>
      </c>
      <c r="P58" s="2">
        <v>0.5</v>
      </c>
      <c r="Q58" s="2"/>
      <c r="R58" s="2"/>
      <c r="U58" s="1">
        <f t="shared" si="21"/>
        <v>2626</v>
      </c>
      <c r="V58" s="1">
        <f t="shared" si="22"/>
        <v>1</v>
      </c>
    </row>
    <row r="59" spans="2:22" x14ac:dyDescent="0.25">
      <c r="B59" s="7"/>
      <c r="C59" s="13"/>
      <c r="D59" s="15" t="str">
        <f>'Trial Balance'!O28</f>
        <v>Maintenance</v>
      </c>
      <c r="E59" s="108" t="str">
        <f>'Trial Balance'!E28</f>
        <v>REPAIR &amp; MAINTENANCE</v>
      </c>
      <c r="F59" s="32">
        <f>'Trial Balance'!M28</f>
        <v>27458</v>
      </c>
      <c r="G59" s="4">
        <f t="shared" si="18"/>
        <v>27458</v>
      </c>
      <c r="H59" s="4">
        <f t="shared" si="18"/>
        <v>0</v>
      </c>
      <c r="I59" s="4"/>
      <c r="J59" s="4">
        <f t="shared" si="19"/>
        <v>0</v>
      </c>
      <c r="K59" s="4">
        <f t="shared" si="20"/>
        <v>0</v>
      </c>
      <c r="L59" s="3"/>
      <c r="O59" s="2">
        <v>1</v>
      </c>
      <c r="P59" s="2"/>
      <c r="Q59" s="2"/>
      <c r="R59" s="2"/>
      <c r="U59" s="1">
        <f t="shared" si="21"/>
        <v>27458</v>
      </c>
      <c r="V59" s="1">
        <f t="shared" si="22"/>
        <v>0</v>
      </c>
    </row>
    <row r="60" spans="2:22" x14ac:dyDescent="0.25">
      <c r="B60" s="7"/>
      <c r="C60" s="13"/>
      <c r="D60" s="15" t="str">
        <f>'Trial Balance'!O50</f>
        <v>Maintenance</v>
      </c>
      <c r="E60" s="108" t="str">
        <f>'Trial Balance'!E50</f>
        <v>REPAIR &amp; MAINTENANCE</v>
      </c>
      <c r="F60" s="32">
        <f>'Trial Balance'!M50</f>
        <v>7755</v>
      </c>
      <c r="G60" s="4">
        <f t="shared" si="18"/>
        <v>0</v>
      </c>
      <c r="H60" s="4">
        <f t="shared" si="18"/>
        <v>7755</v>
      </c>
      <c r="I60" s="4"/>
      <c r="J60" s="4">
        <f t="shared" si="19"/>
        <v>0</v>
      </c>
      <c r="K60" s="4">
        <f t="shared" si="20"/>
        <v>0</v>
      </c>
      <c r="L60" s="3"/>
      <c r="O60" s="2"/>
      <c r="P60" s="2">
        <v>1</v>
      </c>
      <c r="Q60" s="2"/>
      <c r="R60" s="2"/>
      <c r="U60" s="1">
        <f t="shared" si="21"/>
        <v>7755</v>
      </c>
      <c r="V60" s="1">
        <f t="shared" si="22"/>
        <v>0</v>
      </c>
    </row>
    <row r="61" spans="2:22" x14ac:dyDescent="0.25">
      <c r="B61" s="7"/>
      <c r="C61" s="13"/>
      <c r="D61" s="15" t="str">
        <f>'Trial Balance'!O59</f>
        <v>Maintenance</v>
      </c>
      <c r="E61" s="108" t="str">
        <f>'Trial Balance'!E59</f>
        <v>WATER DIS RESERVE CHECKBK-EXP</v>
      </c>
      <c r="F61" s="32">
        <f>'Trial Balance'!M59</f>
        <v>21397</v>
      </c>
      <c r="G61" s="4">
        <f t="shared" si="18"/>
        <v>0</v>
      </c>
      <c r="H61" s="4">
        <f>ROUND($F61*P61,0)-1</f>
        <v>21396</v>
      </c>
      <c r="I61" s="4"/>
      <c r="J61" s="4">
        <f t="shared" si="19"/>
        <v>0</v>
      </c>
      <c r="K61" s="4">
        <f t="shared" si="20"/>
        <v>0</v>
      </c>
      <c r="L61" s="3"/>
      <c r="O61" s="2"/>
      <c r="P61" s="2">
        <v>1</v>
      </c>
      <c r="Q61" s="2"/>
      <c r="R61" s="2"/>
      <c r="U61" s="1">
        <f t="shared" si="21"/>
        <v>21396</v>
      </c>
      <c r="V61" s="1">
        <f t="shared" si="22"/>
        <v>-1</v>
      </c>
    </row>
    <row r="62" spans="2:22" x14ac:dyDescent="0.25">
      <c r="B62" s="7"/>
      <c r="C62" s="13"/>
      <c r="D62" s="15" t="str">
        <f>'Trial Balance'!O58</f>
        <v>Maintenance</v>
      </c>
      <c r="E62" s="108" t="str">
        <f>'Trial Balance'!E58</f>
        <v>WATER PRO RESERVE CHECKBK-EXP</v>
      </c>
      <c r="F62" s="32">
        <f>'Trial Balance'!M58</f>
        <v>45207</v>
      </c>
      <c r="G62" s="4">
        <f t="shared" si="18"/>
        <v>45207</v>
      </c>
      <c r="H62" s="4">
        <f t="shared" si="18"/>
        <v>0</v>
      </c>
      <c r="I62" s="4"/>
      <c r="J62" s="4">
        <f t="shared" si="19"/>
        <v>0</v>
      </c>
      <c r="K62" s="4">
        <f t="shared" si="20"/>
        <v>0</v>
      </c>
      <c r="L62" s="3"/>
      <c r="O62" s="2">
        <v>1</v>
      </c>
      <c r="P62" s="2"/>
      <c r="Q62" s="2"/>
      <c r="R62" s="2"/>
      <c r="U62" s="1">
        <f t="shared" si="21"/>
        <v>45207</v>
      </c>
      <c r="V62" s="1">
        <f t="shared" si="22"/>
        <v>0</v>
      </c>
    </row>
    <row r="63" spans="2:22" x14ac:dyDescent="0.25">
      <c r="B63" s="7"/>
      <c r="C63" s="13"/>
      <c r="D63" s="15"/>
      <c r="E63" s="108"/>
      <c r="F63" s="110">
        <f>SUM(F57:F62)</f>
        <v>106106</v>
      </c>
      <c r="G63" s="110">
        <f t="shared" ref="G63:L63" si="23">SUM(G57:G62)</f>
        <v>74810</v>
      </c>
      <c r="H63" s="110">
        <f t="shared" si="23"/>
        <v>31296</v>
      </c>
      <c r="I63" s="110">
        <f t="shared" si="23"/>
        <v>0</v>
      </c>
      <c r="J63" s="110">
        <f t="shared" si="23"/>
        <v>0</v>
      </c>
      <c r="K63" s="110">
        <f t="shared" si="23"/>
        <v>0</v>
      </c>
      <c r="L63" s="110">
        <f t="shared" si="23"/>
        <v>0</v>
      </c>
      <c r="N63" s="1">
        <f>SUM(G63:K63)</f>
        <v>106106</v>
      </c>
      <c r="O63" s="2"/>
      <c r="P63" s="2"/>
      <c r="Q63" s="2"/>
      <c r="R63" s="2"/>
    </row>
    <row r="64" spans="2:22" x14ac:dyDescent="0.25">
      <c r="B64" s="7"/>
      <c r="C64" s="13"/>
      <c r="D64" s="15"/>
      <c r="E64" s="108"/>
      <c r="F64" s="32"/>
      <c r="G64" s="4"/>
      <c r="H64" s="4"/>
      <c r="I64" s="4"/>
      <c r="J64" s="4"/>
      <c r="K64" s="4"/>
      <c r="L64" s="3"/>
      <c r="O64" s="63">
        <f>SUM(G63:K63)</f>
        <v>106106</v>
      </c>
      <c r="P64" s="2"/>
      <c r="Q64" s="2"/>
      <c r="R64" s="2"/>
    </row>
    <row r="65" spans="2:22" x14ac:dyDescent="0.25">
      <c r="B65" s="7"/>
      <c r="C65" s="13"/>
      <c r="D65" s="15" t="str">
        <f>'Trial Balance'!O9</f>
        <v>Salaries &amp; Wages</v>
      </c>
      <c r="E65" s="15" t="str">
        <f>'Trial Balance'!O9</f>
        <v>Salaries &amp; Wages</v>
      </c>
      <c r="F65" s="32">
        <f>'Trial Balance'!M9</f>
        <v>236747</v>
      </c>
      <c r="G65" s="4">
        <f>ROUND($F65*O65,0)</f>
        <v>128994</v>
      </c>
      <c r="H65" s="4">
        <f>ROUND($F65*P65,0)</f>
        <v>50029</v>
      </c>
      <c r="I65" s="4"/>
      <c r="J65" s="4">
        <f t="shared" ref="J65:J66" si="24">ROUND($F65*Q65,0)</f>
        <v>22228</v>
      </c>
      <c r="K65" s="4">
        <f t="shared" ref="K65:K66" si="25">ROUND($F65*R65,0)</f>
        <v>35495</v>
      </c>
      <c r="L65" s="3"/>
      <c r="O65" s="2">
        <f>'Emp Sal'!H$15</f>
        <v>0.54486000000000001</v>
      </c>
      <c r="P65" s="2">
        <f>'Emp Sal'!I$15</f>
        <v>0.21132000000000001</v>
      </c>
      <c r="Q65" s="2">
        <f>'Emp Sal'!J$15</f>
        <v>9.3890000000000001E-2</v>
      </c>
      <c r="R65" s="2">
        <f>'Emp Sal'!K$15</f>
        <v>0.14993000000000001</v>
      </c>
      <c r="U65" s="1">
        <f>SUM(G65:K65)</f>
        <v>236746</v>
      </c>
      <c r="V65" s="1">
        <f>U65-F65</f>
        <v>-1</v>
      </c>
    </row>
    <row r="66" spans="2:22" x14ac:dyDescent="0.25">
      <c r="B66" s="7"/>
      <c r="C66" s="13"/>
      <c r="D66" s="15" t="str">
        <f>'Trial Balance'!O10</f>
        <v>Salaries &amp; Wages</v>
      </c>
      <c r="E66" s="15" t="str">
        <f>'Trial Balance'!O10</f>
        <v>Salaries &amp; Wages</v>
      </c>
      <c r="F66" s="32">
        <f>'Trial Balance'!M10</f>
        <v>19632</v>
      </c>
      <c r="G66" s="4">
        <f>ROUND($F66*O66,0)</f>
        <v>10697</v>
      </c>
      <c r="H66" s="4">
        <f>ROUND($F66*P66,0)</f>
        <v>4149</v>
      </c>
      <c r="I66" s="4"/>
      <c r="J66" s="4">
        <f t="shared" si="24"/>
        <v>1843</v>
      </c>
      <c r="K66" s="4">
        <f t="shared" si="25"/>
        <v>2943</v>
      </c>
      <c r="L66" s="3"/>
      <c r="O66" s="2">
        <f>'Emp Sal'!H$15</f>
        <v>0.54486000000000001</v>
      </c>
      <c r="P66" s="2">
        <f>'Emp Sal'!I$15</f>
        <v>0.21132000000000001</v>
      </c>
      <c r="Q66" s="2">
        <f>'Emp Sal'!J$15</f>
        <v>9.3890000000000001E-2</v>
      </c>
      <c r="R66" s="2">
        <f>'Emp Sal'!K$15</f>
        <v>0.14993000000000001</v>
      </c>
      <c r="U66" s="1">
        <f>SUM(G66:K66)</f>
        <v>19632</v>
      </c>
      <c r="V66" s="1">
        <f>U66-F66</f>
        <v>0</v>
      </c>
    </row>
    <row r="67" spans="2:22" x14ac:dyDescent="0.25">
      <c r="B67" s="7"/>
      <c r="C67" s="13"/>
      <c r="D67" s="15"/>
      <c r="E67" s="108"/>
      <c r="F67" s="110">
        <f>SUM(F65:F66)</f>
        <v>256379</v>
      </c>
      <c r="G67" s="110">
        <f t="shared" ref="G67:K67" si="26">SUM(G65:G66)</f>
        <v>139691</v>
      </c>
      <c r="H67" s="110">
        <f t="shared" si="26"/>
        <v>54178</v>
      </c>
      <c r="I67" s="110">
        <f t="shared" si="26"/>
        <v>0</v>
      </c>
      <c r="J67" s="110">
        <f t="shared" si="26"/>
        <v>24071</v>
      </c>
      <c r="K67" s="110">
        <f t="shared" si="26"/>
        <v>38438</v>
      </c>
      <c r="L67" s="3"/>
      <c r="N67" s="1">
        <f>SUM(G67:K67)</f>
        <v>256378</v>
      </c>
      <c r="O67" s="2"/>
      <c r="P67" s="2"/>
      <c r="Q67" s="2"/>
      <c r="R67" s="2"/>
    </row>
    <row r="68" spans="2:22" x14ac:dyDescent="0.25">
      <c r="B68" s="7"/>
      <c r="C68" s="13"/>
      <c r="D68" s="15"/>
      <c r="E68" s="108"/>
      <c r="F68" s="32"/>
      <c r="G68" s="4"/>
      <c r="H68" s="4"/>
      <c r="I68" s="4"/>
      <c r="J68" s="4"/>
      <c r="K68" s="4"/>
      <c r="L68" s="3"/>
      <c r="O68" s="63">
        <f>SUM(G67:K67)</f>
        <v>256378</v>
      </c>
      <c r="P68" s="2"/>
      <c r="Q68" s="2"/>
      <c r="R68" s="2"/>
    </row>
    <row r="69" spans="2:22" x14ac:dyDescent="0.25">
      <c r="B69" s="7"/>
      <c r="C69" s="13"/>
      <c r="D69" s="15" t="str">
        <f>'Trial Balance'!O35</f>
        <v>Truck Expense - Allocated</v>
      </c>
      <c r="E69" s="108" t="str">
        <f>'Trial Balance'!E35</f>
        <v>GASOLINE</v>
      </c>
      <c r="F69" s="32">
        <f>'Trial Balance'!M35</f>
        <v>8818</v>
      </c>
      <c r="G69" s="4">
        <f t="shared" ref="G69:H72" si="27">ROUND($F69*O69,0)</f>
        <v>5829</v>
      </c>
      <c r="H69" s="4">
        <f t="shared" si="27"/>
        <v>2351</v>
      </c>
      <c r="I69" s="4"/>
      <c r="J69" s="4">
        <f t="shared" ref="J69:J72" si="28">ROUND($F69*Q69,0)</f>
        <v>638</v>
      </c>
      <c r="K69" s="4">
        <f t="shared" ref="K69:K72" si="29">ROUND($F69*R69,0)</f>
        <v>0</v>
      </c>
      <c r="L69" s="3"/>
      <c r="O69" s="2">
        <f>'Emp Sal Adj'!L$38</f>
        <v>0.66100000000000003</v>
      </c>
      <c r="P69" s="2">
        <f>'Emp Sal Adj'!M$38</f>
        <v>0.2666</v>
      </c>
      <c r="Q69" s="2">
        <f>'Emp Sal Adj'!N$38</f>
        <v>7.2400000000000006E-2</v>
      </c>
      <c r="R69" s="2">
        <f>'Emp Sal Adj'!O$38</f>
        <v>0</v>
      </c>
      <c r="U69" s="1">
        <f>SUM(G69:K69)</f>
        <v>8818</v>
      </c>
      <c r="V69" s="1">
        <f>U69-F69</f>
        <v>0</v>
      </c>
    </row>
    <row r="70" spans="2:22" x14ac:dyDescent="0.25">
      <c r="B70" s="7"/>
      <c r="C70" s="13"/>
      <c r="D70" s="15" t="str">
        <f>'Trial Balance'!O54</f>
        <v>Truck Expense - Allocated</v>
      </c>
      <c r="E70" s="108" t="str">
        <f>'Trial Balance'!E54</f>
        <v>GASOLINE</v>
      </c>
      <c r="F70" s="32">
        <f>'Trial Balance'!M54</f>
        <v>9529</v>
      </c>
      <c r="G70" s="4">
        <f t="shared" si="27"/>
        <v>6299</v>
      </c>
      <c r="H70" s="4">
        <f t="shared" si="27"/>
        <v>2540</v>
      </c>
      <c r="I70" s="4"/>
      <c r="J70" s="4">
        <f t="shared" si="28"/>
        <v>690</v>
      </c>
      <c r="K70" s="4">
        <f t="shared" si="29"/>
        <v>0</v>
      </c>
      <c r="L70" s="3"/>
      <c r="O70" s="2">
        <f>'Emp Sal Adj'!L$38</f>
        <v>0.66100000000000003</v>
      </c>
      <c r="P70" s="2">
        <f>'Emp Sal Adj'!M$38</f>
        <v>0.2666</v>
      </c>
      <c r="Q70" s="2">
        <f>'Emp Sal Adj'!N$38</f>
        <v>7.2400000000000006E-2</v>
      </c>
      <c r="R70" s="2">
        <f>'Emp Sal Adj'!O$38</f>
        <v>0</v>
      </c>
      <c r="U70" s="1">
        <f>SUM(G70:K70)</f>
        <v>9529</v>
      </c>
      <c r="V70" s="1">
        <f>U70-F70</f>
        <v>0</v>
      </c>
    </row>
    <row r="71" spans="2:22" x14ac:dyDescent="0.25">
      <c r="B71" s="7"/>
      <c r="C71" s="13"/>
      <c r="D71" s="15" t="str">
        <f>'Trial Balance'!O46</f>
        <v>Truck Expense - Allocated</v>
      </c>
      <c r="E71" s="108" t="str">
        <f>'Trial Balance'!E46</f>
        <v>TRUCK LEASE</v>
      </c>
      <c r="F71" s="32">
        <f>'Trial Balance'!M46</f>
        <v>0</v>
      </c>
      <c r="G71" s="4">
        <f t="shared" si="27"/>
        <v>0</v>
      </c>
      <c r="H71" s="4">
        <f t="shared" si="27"/>
        <v>0</v>
      </c>
      <c r="I71" s="4"/>
      <c r="J71" s="4">
        <f t="shared" si="28"/>
        <v>0</v>
      </c>
      <c r="K71" s="4">
        <f t="shared" si="29"/>
        <v>0</v>
      </c>
      <c r="L71" s="3"/>
      <c r="O71" s="2">
        <f>'Emp Sal Adj'!L$23</f>
        <v>0</v>
      </c>
      <c r="P71" s="2">
        <v>1</v>
      </c>
      <c r="Q71" s="2">
        <v>0</v>
      </c>
      <c r="R71" s="2">
        <f>'Emp Sal Adj'!O$23</f>
        <v>0</v>
      </c>
      <c r="U71" s="1">
        <f>SUM(G71:K71)</f>
        <v>0</v>
      </c>
      <c r="V71" s="1">
        <f>U71-F71</f>
        <v>0</v>
      </c>
    </row>
    <row r="72" spans="2:22" x14ac:dyDescent="0.25">
      <c r="B72" s="7"/>
      <c r="C72" s="13"/>
      <c r="D72" s="15" t="str">
        <f>'Trial Balance'!O23</f>
        <v>Truck Expense - Allocated</v>
      </c>
      <c r="E72" s="108" t="str">
        <f>'Trial Balance'!E23</f>
        <v>TRUCK LEASE PAYMENT</v>
      </c>
      <c r="F72" s="32">
        <f>'Trial Balance'!M23</f>
        <v>0</v>
      </c>
      <c r="G72" s="4">
        <f t="shared" si="27"/>
        <v>0</v>
      </c>
      <c r="H72" s="4">
        <f t="shared" si="27"/>
        <v>0</v>
      </c>
      <c r="I72" s="4"/>
      <c r="J72" s="4">
        <f t="shared" si="28"/>
        <v>0</v>
      </c>
      <c r="K72" s="4">
        <f t="shared" si="29"/>
        <v>0</v>
      </c>
      <c r="L72" s="3"/>
      <c r="O72" s="2">
        <f>'Emp Sal Adj'!L$23</f>
        <v>0</v>
      </c>
      <c r="P72" s="2">
        <v>1</v>
      </c>
      <c r="Q72" s="2">
        <v>0</v>
      </c>
      <c r="R72" s="2">
        <f>'Emp Sal Adj'!O$23</f>
        <v>0</v>
      </c>
      <c r="U72" s="1">
        <f>SUM(G72:K72)</f>
        <v>0</v>
      </c>
      <c r="V72" s="1">
        <f>U72-F72</f>
        <v>0</v>
      </c>
    </row>
    <row r="73" spans="2:22" x14ac:dyDescent="0.25">
      <c r="B73" s="7"/>
      <c r="C73" s="13"/>
      <c r="D73" s="15"/>
      <c r="E73" s="108"/>
      <c r="F73" s="110">
        <f>SUM(F69:F72)</f>
        <v>18347</v>
      </c>
      <c r="G73" s="110">
        <f t="shared" ref="G73:K73" si="30">SUM(G69:G72)</f>
        <v>12128</v>
      </c>
      <c r="H73" s="110">
        <f t="shared" si="30"/>
        <v>4891</v>
      </c>
      <c r="I73" s="110">
        <f t="shared" si="30"/>
        <v>0</v>
      </c>
      <c r="J73" s="110">
        <f t="shared" si="30"/>
        <v>1328</v>
      </c>
      <c r="K73" s="110">
        <f t="shared" si="30"/>
        <v>0</v>
      </c>
      <c r="L73" s="3"/>
      <c r="N73" s="1">
        <f>SUM(G73:K73)</f>
        <v>18347</v>
      </c>
      <c r="O73" s="2"/>
      <c r="P73" s="2"/>
      <c r="Q73" s="2"/>
      <c r="R73" s="2"/>
    </row>
    <row r="74" spans="2:22" x14ac:dyDescent="0.25">
      <c r="B74" s="7"/>
      <c r="C74" s="13"/>
      <c r="D74" s="15"/>
      <c r="E74" s="108"/>
      <c r="F74" s="32"/>
      <c r="G74" s="4"/>
      <c r="H74" s="4"/>
      <c r="I74" s="4"/>
      <c r="J74" s="4"/>
      <c r="K74" s="4"/>
      <c r="L74" s="3"/>
      <c r="N74" s="1">
        <f>SUM(N10:N73)</f>
        <v>1046983</v>
      </c>
      <c r="O74" s="2"/>
      <c r="P74" s="2"/>
      <c r="Q74" s="2"/>
      <c r="R74" s="2"/>
    </row>
    <row r="75" spans="2:22" s="19" customFormat="1" ht="15.75" thickBot="1" x14ac:dyDescent="0.3">
      <c r="B75" s="16"/>
      <c r="C75" s="17"/>
      <c r="D75" s="107" t="s">
        <v>98</v>
      </c>
      <c r="E75" s="17"/>
      <c r="F75" s="96">
        <f t="shared" ref="F75:K75" si="31">ROUND(SUM(F10,F14,F21,F24,F45,F51,F54,F63,F67,F73),0)</f>
        <v>1059662</v>
      </c>
      <c r="G75" s="96">
        <f t="shared" si="31"/>
        <v>673484</v>
      </c>
      <c r="H75" s="96">
        <f t="shared" si="31"/>
        <v>205205</v>
      </c>
      <c r="I75" s="96">
        <f t="shared" si="31"/>
        <v>24241</v>
      </c>
      <c r="J75" s="96">
        <f t="shared" si="31"/>
        <v>74967</v>
      </c>
      <c r="K75" s="96">
        <f t="shared" si="31"/>
        <v>69086</v>
      </c>
      <c r="L75" s="18"/>
      <c r="N75" s="19">
        <f>SUM(G75:K75)</f>
        <v>1046983</v>
      </c>
      <c r="O75" s="20"/>
      <c r="P75" s="20"/>
      <c r="Q75" s="20"/>
      <c r="R75" s="20"/>
      <c r="U75" s="19">
        <f>SUM(U8:U72)</f>
        <v>654631</v>
      </c>
      <c r="V75" s="19">
        <f>U75-F75</f>
        <v>-405031</v>
      </c>
    </row>
    <row r="76" spans="2:22" ht="15.75" thickTop="1" x14ac:dyDescent="0.25">
      <c r="B76" s="9"/>
      <c r="C76" s="61"/>
      <c r="D76" s="35"/>
      <c r="E76" s="23"/>
      <c r="F76" s="10"/>
      <c r="G76" s="10"/>
      <c r="H76" s="10"/>
      <c r="I76" s="10"/>
      <c r="J76" s="10"/>
      <c r="K76" s="10"/>
      <c r="L76" s="5"/>
      <c r="O76" s="2"/>
      <c r="P76" s="2"/>
      <c r="Q76" s="2"/>
      <c r="R76" s="2"/>
    </row>
    <row r="77" spans="2:22" x14ac:dyDescent="0.25">
      <c r="B77" s="7"/>
      <c r="C77" s="13"/>
      <c r="D77" s="12"/>
      <c r="E77" s="11" t="s">
        <v>113</v>
      </c>
      <c r="F77" s="4">
        <f>ROUND('Trial Balance'!M62,0)</f>
        <v>1059662</v>
      </c>
      <c r="G77" s="4">
        <f>ROUND(SUM(G75:K75),0)</f>
        <v>1046983</v>
      </c>
      <c r="H77" s="4"/>
      <c r="I77" s="4"/>
      <c r="J77" s="4"/>
      <c r="K77" s="4"/>
      <c r="L77" s="3"/>
      <c r="N77" s="1">
        <f>F77-G77</f>
        <v>12679</v>
      </c>
      <c r="O77" s="2"/>
      <c r="P77" s="2"/>
      <c r="Q77" s="2"/>
      <c r="R77" s="2"/>
    </row>
    <row r="78" spans="2:22" x14ac:dyDescent="0.25">
      <c r="B78" s="7"/>
      <c r="C78" s="13"/>
      <c r="D78" s="12"/>
      <c r="E78" s="11"/>
      <c r="F78" s="21" t="str">
        <f>IF(F77=F75,"OK","Out of Balance")</f>
        <v>OK</v>
      </c>
      <c r="G78" s="21" t="str">
        <f>IF(F77=G77,"OK","Out of Balance")</f>
        <v>Out of Balance</v>
      </c>
      <c r="H78" s="4"/>
      <c r="I78" s="4"/>
      <c r="J78" s="4"/>
      <c r="K78" s="4"/>
      <c r="L78" s="3"/>
      <c r="O78" s="2"/>
      <c r="P78" s="2"/>
      <c r="Q78" s="2"/>
      <c r="R78" s="2"/>
    </row>
    <row r="79" spans="2:22" x14ac:dyDescent="0.25">
      <c r="B79" s="7"/>
      <c r="C79" s="13"/>
      <c r="D79" s="12"/>
      <c r="E79" s="11"/>
      <c r="F79" s="21" t="s">
        <v>114</v>
      </c>
      <c r="G79" s="21" t="s">
        <v>8</v>
      </c>
      <c r="H79" s="4"/>
      <c r="I79" s="4"/>
      <c r="J79" s="4"/>
      <c r="K79" s="4"/>
      <c r="L79" s="3"/>
      <c r="O79" s="33">
        <f>F75-F77</f>
        <v>0</v>
      </c>
      <c r="P79" s="2"/>
      <c r="Q79" s="2"/>
      <c r="R79" s="2"/>
    </row>
    <row r="80" spans="2:22" x14ac:dyDescent="0.25">
      <c r="B80" s="9"/>
      <c r="C80" s="61"/>
      <c r="D80" s="35"/>
      <c r="E80" s="23"/>
      <c r="F80" s="10"/>
      <c r="G80" s="10"/>
      <c r="H80" s="10"/>
      <c r="I80" s="10"/>
      <c r="J80" s="10"/>
      <c r="K80" s="10"/>
      <c r="L80" s="5"/>
      <c r="O80" s="2"/>
      <c r="P80" s="2"/>
      <c r="Q80" s="2"/>
      <c r="R80" s="2"/>
    </row>
    <row r="81" spans="1:18" x14ac:dyDescent="0.25">
      <c r="B81" s="7"/>
      <c r="C81" s="13"/>
      <c r="D81" s="12"/>
      <c r="E81" s="11"/>
      <c r="F81" s="4"/>
      <c r="G81" s="4"/>
      <c r="H81" s="4"/>
      <c r="I81" s="4"/>
      <c r="J81" s="4"/>
      <c r="K81" s="4"/>
      <c r="L81" s="3"/>
      <c r="O81" s="2"/>
      <c r="P81" s="2"/>
      <c r="Q81" s="2"/>
      <c r="R81" s="2"/>
    </row>
    <row r="82" spans="1:18" x14ac:dyDescent="0.25">
      <c r="B82" s="7"/>
      <c r="C82" s="13"/>
      <c r="D82" s="12"/>
      <c r="E82" s="11"/>
      <c r="F82" s="4"/>
      <c r="G82" s="4"/>
      <c r="H82" s="4"/>
      <c r="I82" s="4"/>
      <c r="J82" s="4"/>
      <c r="K82" s="4"/>
      <c r="L82" s="3"/>
      <c r="O82" s="2"/>
      <c r="P82" s="2"/>
      <c r="Q82" s="2"/>
      <c r="R82" s="2"/>
    </row>
    <row r="83" spans="1:18" x14ac:dyDescent="0.25">
      <c r="B83" s="7"/>
      <c r="D83" s="17" t="s">
        <v>115</v>
      </c>
      <c r="E83" s="11"/>
      <c r="F83" s="4"/>
      <c r="G83" s="4"/>
      <c r="H83" s="4"/>
      <c r="I83" s="4"/>
      <c r="J83" s="4"/>
      <c r="K83" s="4"/>
      <c r="L83" s="3"/>
      <c r="O83" s="2"/>
      <c r="P83" s="2"/>
      <c r="Q83" s="2"/>
      <c r="R83" s="2"/>
    </row>
    <row r="84" spans="1:18" x14ac:dyDescent="0.25">
      <c r="A84" s="4"/>
      <c r="B84" s="7"/>
      <c r="C84" s="13"/>
      <c r="D84" s="36" t="s">
        <v>208</v>
      </c>
      <c r="E84" s="11"/>
      <c r="F84" s="4">
        <v>56770.561200000004</v>
      </c>
      <c r="G84" s="4">
        <f t="shared" ref="G84:H91" si="32">$F84*O84</f>
        <v>56770.561200000004</v>
      </c>
      <c r="H84" s="4">
        <f t="shared" si="32"/>
        <v>0</v>
      </c>
      <c r="I84" s="4"/>
      <c r="J84" s="4">
        <f t="shared" ref="J84:K91" si="33">$F84*Q84</f>
        <v>0</v>
      </c>
      <c r="K84" s="4">
        <f t="shared" si="33"/>
        <v>0</v>
      </c>
      <c r="L84" s="3"/>
      <c r="O84" s="2">
        <v>1</v>
      </c>
      <c r="P84" s="2">
        <v>0</v>
      </c>
      <c r="Q84" s="2">
        <v>0</v>
      </c>
      <c r="R84" s="2">
        <v>0</v>
      </c>
    </row>
    <row r="85" spans="1:18" x14ac:dyDescent="0.25">
      <c r="A85" s="4"/>
      <c r="B85" s="7"/>
      <c r="C85" s="13"/>
      <c r="D85" s="36" t="s">
        <v>209</v>
      </c>
      <c r="E85" s="11"/>
      <c r="F85" s="4">
        <v>21652.083299999998</v>
      </c>
      <c r="G85" s="4">
        <f t="shared" si="32"/>
        <v>21652.083299999998</v>
      </c>
      <c r="H85" s="4">
        <f t="shared" si="32"/>
        <v>0</v>
      </c>
      <c r="I85" s="4"/>
      <c r="J85" s="4">
        <f t="shared" si="33"/>
        <v>0</v>
      </c>
      <c r="K85" s="4">
        <f t="shared" si="33"/>
        <v>0</v>
      </c>
      <c r="L85" s="3"/>
      <c r="O85" s="2">
        <v>1</v>
      </c>
      <c r="P85" s="2">
        <v>0</v>
      </c>
      <c r="Q85" s="2">
        <v>0</v>
      </c>
      <c r="R85" s="2">
        <v>0</v>
      </c>
    </row>
    <row r="86" spans="1:18" x14ac:dyDescent="0.25">
      <c r="A86" s="4"/>
      <c r="B86" s="7"/>
      <c r="C86" s="13"/>
      <c r="D86" s="36" t="s">
        <v>210</v>
      </c>
      <c r="E86" s="11"/>
      <c r="F86" s="4">
        <v>70479.201000000001</v>
      </c>
      <c r="G86" s="4">
        <f t="shared" si="32"/>
        <v>70479.201000000001</v>
      </c>
      <c r="H86" s="4">
        <f t="shared" si="32"/>
        <v>0</v>
      </c>
      <c r="I86" s="4"/>
      <c r="J86" s="4">
        <f t="shared" si="33"/>
        <v>0</v>
      </c>
      <c r="K86" s="4">
        <f t="shared" si="33"/>
        <v>0</v>
      </c>
      <c r="L86" s="3"/>
      <c r="O86" s="2">
        <v>1</v>
      </c>
      <c r="P86" s="2">
        <v>0</v>
      </c>
      <c r="Q86" s="2">
        <v>0</v>
      </c>
      <c r="R86" s="2">
        <v>0</v>
      </c>
    </row>
    <row r="87" spans="1:18" x14ac:dyDescent="0.25">
      <c r="A87" s="4"/>
      <c r="B87" s="7"/>
      <c r="C87" s="13"/>
      <c r="D87" s="36" t="s">
        <v>211</v>
      </c>
      <c r="E87" s="11"/>
      <c r="F87" s="4">
        <v>14155.929</v>
      </c>
      <c r="G87" s="4">
        <f t="shared" si="32"/>
        <v>0</v>
      </c>
      <c r="H87" s="4">
        <f t="shared" si="32"/>
        <v>0</v>
      </c>
      <c r="I87" s="4"/>
      <c r="J87" s="4">
        <f t="shared" si="33"/>
        <v>14155.929</v>
      </c>
      <c r="K87" s="4">
        <f t="shared" si="33"/>
        <v>0</v>
      </c>
      <c r="L87" s="3"/>
      <c r="O87" s="2">
        <v>0</v>
      </c>
      <c r="P87" s="2">
        <v>0</v>
      </c>
      <c r="Q87" s="2">
        <v>1</v>
      </c>
      <c r="R87" s="2">
        <v>0</v>
      </c>
    </row>
    <row r="88" spans="1:18" x14ac:dyDescent="0.25">
      <c r="A88" s="4"/>
      <c r="B88" s="7"/>
      <c r="C88" s="13"/>
      <c r="D88" s="36" t="s">
        <v>212</v>
      </c>
      <c r="E88" s="11"/>
      <c r="F88" s="4">
        <v>60945.195000000007</v>
      </c>
      <c r="G88" s="4">
        <f t="shared" si="32"/>
        <v>0</v>
      </c>
      <c r="H88" s="4">
        <f t="shared" si="32"/>
        <v>12189.039000000002</v>
      </c>
      <c r="I88" s="4"/>
      <c r="J88" s="4">
        <f t="shared" si="33"/>
        <v>48756.15600000001</v>
      </c>
      <c r="K88" s="4">
        <f t="shared" si="33"/>
        <v>0</v>
      </c>
      <c r="L88" s="3"/>
      <c r="O88" s="2">
        <v>0</v>
      </c>
      <c r="P88" s="2">
        <v>0.2</v>
      </c>
      <c r="Q88" s="2">
        <v>0.8</v>
      </c>
      <c r="R88" s="2">
        <v>0</v>
      </c>
    </row>
    <row r="89" spans="1:18" x14ac:dyDescent="0.25">
      <c r="A89" s="4"/>
      <c r="B89" s="7"/>
      <c r="C89" s="13"/>
      <c r="D89" s="36" t="s">
        <v>213</v>
      </c>
      <c r="E89" s="11"/>
      <c r="F89" s="4">
        <v>48626.341</v>
      </c>
      <c r="G89" s="4">
        <f t="shared" si="32"/>
        <v>48626.341</v>
      </c>
      <c r="H89" s="4">
        <f t="shared" si="32"/>
        <v>0</v>
      </c>
      <c r="I89" s="4"/>
      <c r="J89" s="4">
        <f t="shared" si="33"/>
        <v>0</v>
      </c>
      <c r="K89" s="4">
        <f t="shared" si="33"/>
        <v>0</v>
      </c>
      <c r="L89" s="3"/>
      <c r="O89" s="2">
        <v>1</v>
      </c>
      <c r="P89" s="2">
        <v>0</v>
      </c>
      <c r="Q89" s="2">
        <v>0</v>
      </c>
      <c r="R89" s="2">
        <v>0</v>
      </c>
    </row>
    <row r="90" spans="1:18" x14ac:dyDescent="0.25">
      <c r="B90" s="7"/>
      <c r="C90" s="13"/>
      <c r="D90" s="36" t="s">
        <v>214</v>
      </c>
      <c r="E90" s="11"/>
      <c r="F90" s="4">
        <v>57977.444200000005</v>
      </c>
      <c r="G90" s="4">
        <f t="shared" si="32"/>
        <v>38670.955281400005</v>
      </c>
      <c r="H90" s="4">
        <f t="shared" si="32"/>
        <v>0</v>
      </c>
      <c r="I90" s="4"/>
      <c r="J90" s="4">
        <f t="shared" si="33"/>
        <v>19306.488918600004</v>
      </c>
      <c r="K90" s="4">
        <f t="shared" si="33"/>
        <v>0</v>
      </c>
      <c r="L90" s="3"/>
      <c r="O90" s="2">
        <v>0.66700000000000004</v>
      </c>
      <c r="P90" s="2">
        <v>0</v>
      </c>
      <c r="Q90" s="2">
        <v>0.33300000000000002</v>
      </c>
      <c r="R90" s="2">
        <v>0</v>
      </c>
    </row>
    <row r="91" spans="1:18" x14ac:dyDescent="0.25">
      <c r="B91" s="7"/>
      <c r="C91" s="13"/>
      <c r="D91" s="36" t="s">
        <v>215</v>
      </c>
      <c r="E91" s="11"/>
      <c r="F91" s="10">
        <v>40538.83</v>
      </c>
      <c r="G91" s="10">
        <f t="shared" si="32"/>
        <v>0</v>
      </c>
      <c r="H91" s="10">
        <f t="shared" si="32"/>
        <v>0</v>
      </c>
      <c r="I91" s="10"/>
      <c r="J91" s="10">
        <f t="shared" si="33"/>
        <v>20269.415000000001</v>
      </c>
      <c r="K91" s="10">
        <f t="shared" si="33"/>
        <v>20269.415000000001</v>
      </c>
      <c r="L91" s="3"/>
      <c r="O91" s="2">
        <v>0</v>
      </c>
      <c r="P91" s="2">
        <v>0</v>
      </c>
      <c r="Q91" s="2">
        <v>0.5</v>
      </c>
      <c r="R91" s="2">
        <v>0.5</v>
      </c>
    </row>
    <row r="92" spans="1:18" x14ac:dyDescent="0.25">
      <c r="B92" s="7"/>
      <c r="C92" s="13"/>
      <c r="D92" s="36"/>
      <c r="E92" s="11"/>
      <c r="F92" s="4"/>
      <c r="G92" s="4"/>
      <c r="H92" s="4"/>
      <c r="I92" s="4"/>
      <c r="J92" s="4"/>
      <c r="K92" s="4"/>
      <c r="L92" s="3"/>
      <c r="O92" s="2"/>
      <c r="P92" s="2"/>
      <c r="Q92" s="2"/>
      <c r="R92" s="2"/>
    </row>
    <row r="93" spans="1:18" x14ac:dyDescent="0.25">
      <c r="B93" s="7"/>
      <c r="C93" s="13"/>
      <c r="D93" s="36"/>
      <c r="E93" s="11"/>
      <c r="F93" s="4"/>
      <c r="G93" s="4"/>
      <c r="H93" s="4"/>
      <c r="I93" s="4"/>
      <c r="J93" s="4"/>
      <c r="K93" s="4"/>
      <c r="L93" s="3"/>
      <c r="O93" s="2"/>
      <c r="P93" s="2"/>
      <c r="Q93" s="2"/>
      <c r="R93" s="2"/>
    </row>
    <row r="94" spans="1:18" x14ac:dyDescent="0.25">
      <c r="B94" s="7"/>
      <c r="C94" s="13"/>
      <c r="D94" s="36"/>
      <c r="E94" s="11"/>
      <c r="F94" s="4"/>
      <c r="G94" s="4"/>
      <c r="H94" s="4"/>
      <c r="I94" s="4"/>
      <c r="J94" s="4"/>
      <c r="K94" s="4"/>
      <c r="L94" s="3"/>
      <c r="O94" s="2"/>
      <c r="P94" s="2"/>
      <c r="Q94" s="2"/>
      <c r="R94" s="2"/>
    </row>
    <row r="95" spans="1:18" x14ac:dyDescent="0.25">
      <c r="B95" s="7"/>
      <c r="C95" s="13"/>
      <c r="D95" s="36"/>
      <c r="E95" s="11"/>
      <c r="F95" s="4"/>
      <c r="G95" s="4"/>
      <c r="H95" s="4"/>
      <c r="I95" s="4"/>
      <c r="J95" s="4"/>
      <c r="K95" s="4"/>
      <c r="L95" s="3"/>
      <c r="O95" s="2"/>
      <c r="P95" s="2"/>
      <c r="Q95" s="2"/>
      <c r="R95" s="2"/>
    </row>
    <row r="96" spans="1:18" x14ac:dyDescent="0.25">
      <c r="B96" s="7"/>
      <c r="C96" s="13"/>
      <c r="D96" s="36"/>
      <c r="E96" s="11"/>
      <c r="F96" s="4"/>
      <c r="G96" s="4"/>
      <c r="H96" s="4"/>
      <c r="I96" s="4"/>
      <c r="J96" s="4"/>
      <c r="K96" s="4"/>
      <c r="L96" s="3"/>
      <c r="O96" s="2"/>
      <c r="P96" s="2"/>
      <c r="Q96" s="2"/>
      <c r="R96" s="2"/>
    </row>
    <row r="97" spans="2:18" x14ac:dyDescent="0.25">
      <c r="B97" s="7"/>
      <c r="C97" s="13"/>
      <c r="D97" s="36"/>
      <c r="E97" s="11"/>
      <c r="F97" s="4"/>
      <c r="G97" s="4"/>
      <c r="H97" s="4"/>
      <c r="I97" s="4"/>
      <c r="J97" s="4"/>
      <c r="K97" s="4"/>
      <c r="L97" s="3"/>
      <c r="O97" s="2"/>
      <c r="P97" s="2"/>
      <c r="Q97" s="2"/>
      <c r="R97" s="2"/>
    </row>
    <row r="98" spans="2:18" x14ac:dyDescent="0.25">
      <c r="B98" s="7"/>
      <c r="C98" s="13"/>
      <c r="D98" s="36"/>
      <c r="E98" s="11"/>
      <c r="F98" s="4"/>
      <c r="G98" s="4"/>
      <c r="H98" s="4"/>
      <c r="I98" s="4"/>
      <c r="J98" s="4"/>
      <c r="K98" s="4"/>
      <c r="L98" s="3"/>
      <c r="O98" s="2"/>
      <c r="P98" s="2"/>
      <c r="Q98" s="2"/>
      <c r="R98" s="2"/>
    </row>
    <row r="99" spans="2:18" x14ac:dyDescent="0.25">
      <c r="B99" s="7"/>
      <c r="C99" s="13"/>
      <c r="D99" s="36" t="s">
        <v>10</v>
      </c>
      <c r="E99" s="11"/>
      <c r="F99" s="4">
        <f>SUM(F84:F91)</f>
        <v>371145.58470000006</v>
      </c>
      <c r="G99" s="4">
        <f t="shared" ref="G99:K99" si="34">SUM(G84:G91)</f>
        <v>236199.14178140002</v>
      </c>
      <c r="H99" s="4">
        <f t="shared" si="34"/>
        <v>12189.039000000002</v>
      </c>
      <c r="I99" s="4"/>
      <c r="J99" s="4">
        <f t="shared" si="34"/>
        <v>102487.98891860002</v>
      </c>
      <c r="K99" s="4">
        <f t="shared" si="34"/>
        <v>20269.415000000001</v>
      </c>
      <c r="L99" s="3"/>
      <c r="O99" s="2"/>
      <c r="P99" s="2"/>
      <c r="Q99" s="2"/>
      <c r="R99" s="2"/>
    </row>
    <row r="100" spans="2:18" x14ac:dyDescent="0.25">
      <c r="B100" s="7"/>
      <c r="C100" s="13"/>
      <c r="D100" s="37" t="s">
        <v>123</v>
      </c>
      <c r="E100" s="11"/>
      <c r="F100" s="4"/>
      <c r="G100" s="22">
        <f>ROUND(G99/F99,3)</f>
        <v>0.63600000000000001</v>
      </c>
      <c r="H100" s="22">
        <f>ROUND(H99/F99,3)</f>
        <v>3.3000000000000002E-2</v>
      </c>
      <c r="I100" s="22"/>
      <c r="J100" s="22">
        <f>ROUND(J99/F99,3)</f>
        <v>0.27600000000000002</v>
      </c>
      <c r="K100" s="22">
        <f>1-G100-H100-J100</f>
        <v>5.4999999999999938E-2</v>
      </c>
      <c r="L100" s="3"/>
      <c r="O100" s="2"/>
      <c r="P100" s="2"/>
      <c r="Q100" s="2"/>
      <c r="R100" s="2"/>
    </row>
    <row r="101" spans="2:18" x14ac:dyDescent="0.25">
      <c r="B101" s="7"/>
      <c r="C101" s="13"/>
      <c r="D101" s="38" t="s">
        <v>124</v>
      </c>
      <c r="E101" s="11"/>
      <c r="F101" s="4"/>
      <c r="G101" s="22">
        <v>0</v>
      </c>
      <c r="H101" s="22">
        <f>H99/(F99-G99)</f>
        <v>9.0325011436962838E-2</v>
      </c>
      <c r="I101" s="22"/>
      <c r="J101" s="22">
        <f>J99/(F99-G99)</f>
        <v>0.75947158518599089</v>
      </c>
      <c r="K101" s="22">
        <f>K99/(F99-G99)</f>
        <v>0.15020340337704605</v>
      </c>
      <c r="L101" s="3"/>
      <c r="O101" s="2"/>
      <c r="P101" s="2"/>
      <c r="Q101" s="2"/>
      <c r="R101" s="2"/>
    </row>
    <row r="102" spans="2:18" x14ac:dyDescent="0.25">
      <c r="B102" s="7"/>
      <c r="C102" s="13"/>
      <c r="D102" s="36"/>
      <c r="E102" s="11"/>
      <c r="F102" s="4"/>
      <c r="G102" s="4"/>
      <c r="H102" s="4"/>
      <c r="I102" s="4"/>
      <c r="J102" s="4"/>
      <c r="K102" s="4"/>
      <c r="L102" s="3"/>
      <c r="O102" s="2"/>
      <c r="P102" s="2"/>
      <c r="Q102" s="2"/>
      <c r="R102" s="2"/>
    </row>
    <row r="103" spans="2:18" x14ac:dyDescent="0.25">
      <c r="B103" s="7"/>
      <c r="C103" s="13"/>
      <c r="D103" s="36" t="s">
        <v>116</v>
      </c>
      <c r="E103" s="11"/>
      <c r="F103" s="4">
        <v>371145.58470000006</v>
      </c>
      <c r="G103" s="4">
        <f>SUM(G99:K99)</f>
        <v>371145.58470000001</v>
      </c>
      <c r="H103" s="4"/>
      <c r="I103" s="4"/>
      <c r="J103" s="4"/>
      <c r="K103" s="4"/>
      <c r="L103" s="3"/>
      <c r="O103" s="2"/>
      <c r="P103" s="2"/>
      <c r="Q103" s="2"/>
      <c r="R103" s="2"/>
    </row>
    <row r="104" spans="2:18" x14ac:dyDescent="0.25">
      <c r="B104" s="9"/>
      <c r="C104" s="14"/>
      <c r="D104" s="39"/>
      <c r="E104" s="10"/>
      <c r="F104" s="10"/>
      <c r="G104" s="10"/>
      <c r="H104" s="10"/>
      <c r="I104" s="10"/>
      <c r="J104" s="10"/>
      <c r="K104" s="10"/>
      <c r="L104" s="5"/>
    </row>
    <row r="108" spans="2:18" x14ac:dyDescent="0.25">
      <c r="D108" s="40" t="s">
        <v>217</v>
      </c>
      <c r="F108" s="1" t="s">
        <v>297</v>
      </c>
    </row>
    <row r="109" spans="2:18" x14ac:dyDescent="0.25">
      <c r="F109" s="1">
        <f>'Emp Sal Adj'!M18</f>
        <v>57722.100000000006</v>
      </c>
      <c r="G109" s="58">
        <f>ROUND(F109/F$111,4)</f>
        <v>0.78649999999999998</v>
      </c>
    </row>
    <row r="110" spans="2:18" x14ac:dyDescent="0.25">
      <c r="F110" s="1">
        <f>'Emp Sal Adj'!N18</f>
        <v>15673</v>
      </c>
      <c r="G110" s="58">
        <f>ROUND(F110/F$111,4)</f>
        <v>0.2135</v>
      </c>
    </row>
    <row r="111" spans="2:18" x14ac:dyDescent="0.25">
      <c r="F111" s="1">
        <f>SUM(F109:F110)</f>
        <v>73395.100000000006</v>
      </c>
      <c r="G111" s="58">
        <f>SUM(G109:G110)</f>
        <v>1</v>
      </c>
    </row>
  </sheetData>
  <sortState xmlns:xlrd2="http://schemas.microsoft.com/office/spreadsheetml/2017/richdata2" ref="D10:R72">
    <sortCondition ref="D10:D72"/>
    <sortCondition ref="E10:E72"/>
  </sortState>
  <mergeCells count="3">
    <mergeCell ref="C3:K3"/>
    <mergeCell ref="C4:K4"/>
    <mergeCell ref="C5:K5"/>
  </mergeCells>
  <pageMargins left="0.7" right="0.7" top="0.75" bottom="0.75" header="0.3" footer="0.3"/>
  <pageSetup scale="57" orientation="portrait" horizontalDpi="4294967293" r:id="rId1"/>
  <ignoredErrors>
    <ignoredError sqref="H62:K75 I10:K61 G62:G68" emptyCellReference="1"/>
    <ignoredError sqref="H10:H61 F14:G14 G27:G44 G60:G61" formula="1" emptyCellReference="1"/>
    <ignoredError sqref="F10:G13 F15:G26 F45:G59 F27:F44 F60:F6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7F7F5-0278-497C-8DFA-7E69EB5633CE}">
  <dimension ref="C2:U62"/>
  <sheetViews>
    <sheetView showGridLines="0" topLeftCell="D34" workbookViewId="0">
      <selection activeCell="C1" sqref="C1:V51"/>
    </sheetView>
  </sheetViews>
  <sheetFormatPr defaultColWidth="7.109375" defaultRowHeight="15" x14ac:dyDescent="0.2"/>
  <cols>
    <col min="1" max="1" width="7.109375" style="31"/>
    <col min="2" max="2" width="1.77734375" style="31" customWidth="1"/>
    <col min="3" max="3" width="37.77734375" style="73" customWidth="1"/>
    <col min="4" max="4" width="4.6640625" style="72" customWidth="1"/>
    <col min="5" max="5" width="13.44140625" style="111" customWidth="1"/>
    <col min="6" max="6" width="12.77734375" style="111" customWidth="1"/>
    <col min="7" max="7" width="13.44140625" style="111" customWidth="1"/>
    <col min="8" max="8" width="1.77734375" style="31" customWidth="1"/>
    <col min="9" max="9" width="11" style="31" bestFit="1" customWidth="1"/>
    <col min="10" max="10" width="1.77734375" style="31" customWidth="1"/>
    <col min="11" max="11" width="12.77734375" style="31" customWidth="1"/>
    <col min="12" max="12" width="1.77734375" style="31" customWidth="1"/>
    <col min="13" max="13" width="12.77734375" style="31" customWidth="1"/>
    <col min="14" max="14" width="1.77734375" style="31" customWidth="1"/>
    <col min="15" max="15" width="12.77734375" style="31" customWidth="1"/>
    <col min="16" max="16" width="1.77734375" style="31" customWidth="1"/>
    <col min="17" max="17" width="12.77734375" style="31" customWidth="1"/>
    <col min="18" max="18" width="1.77734375" style="31" customWidth="1"/>
    <col min="19" max="19" width="12.77734375" style="31" customWidth="1"/>
    <col min="20" max="20" width="1.77734375" style="31" customWidth="1"/>
    <col min="21" max="21" width="12.77734375" style="49" customWidth="1"/>
    <col min="22" max="22" width="1.77734375" style="31" customWidth="1"/>
    <col min="23" max="24" width="14.77734375" style="31" customWidth="1"/>
    <col min="25" max="16384" width="7.109375" style="31"/>
  </cols>
  <sheetData>
    <row r="2" spans="3:21" ht="15.75" x14ac:dyDescent="0.25">
      <c r="C2" s="344" t="s">
        <v>0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</row>
    <row r="3" spans="3:21" ht="15.75" x14ac:dyDescent="0.25">
      <c r="C3" s="344" t="s">
        <v>91</v>
      </c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344"/>
      <c r="P3" s="344"/>
      <c r="Q3" s="344"/>
      <c r="R3" s="344"/>
      <c r="S3" s="344"/>
      <c r="T3" s="344"/>
      <c r="U3" s="344"/>
    </row>
    <row r="4" spans="3:21" ht="15.75" x14ac:dyDescent="0.25">
      <c r="C4" s="344" t="s">
        <v>225</v>
      </c>
      <c r="D4" s="344"/>
      <c r="E4" s="344"/>
      <c r="F4" s="344"/>
      <c r="G4" s="344"/>
      <c r="H4" s="344"/>
      <c r="I4" s="344"/>
      <c r="J4" s="344"/>
      <c r="K4" s="344"/>
      <c r="L4" s="344"/>
      <c r="M4" s="344"/>
      <c r="N4" s="344"/>
      <c r="O4" s="344"/>
      <c r="P4" s="344"/>
      <c r="Q4" s="344"/>
      <c r="R4" s="344"/>
      <c r="S4" s="344"/>
      <c r="T4" s="344"/>
      <c r="U4" s="344"/>
    </row>
    <row r="5" spans="3:21" ht="15.75" x14ac:dyDescent="0.25">
      <c r="I5" s="161"/>
      <c r="J5" s="161"/>
      <c r="L5" s="161"/>
    </row>
    <row r="6" spans="3:21" ht="15.75" x14ac:dyDescent="0.25">
      <c r="C6" s="162"/>
      <c r="D6" s="163"/>
      <c r="E6" s="164" t="s">
        <v>250</v>
      </c>
      <c r="F6" s="165"/>
      <c r="G6" s="164" t="s">
        <v>250</v>
      </c>
      <c r="H6" s="166"/>
      <c r="I6" s="166"/>
      <c r="J6" s="166"/>
      <c r="K6" s="167"/>
      <c r="L6" s="166"/>
      <c r="M6" s="167"/>
      <c r="N6" s="167"/>
      <c r="O6" s="168" t="s">
        <v>65</v>
      </c>
      <c r="P6" s="167"/>
      <c r="Q6" s="167"/>
      <c r="R6" s="167"/>
      <c r="S6" s="168" t="s">
        <v>99</v>
      </c>
      <c r="T6" s="167"/>
    </row>
    <row r="7" spans="3:21" ht="15.75" x14ac:dyDescent="0.25">
      <c r="C7" s="162" t="s">
        <v>226</v>
      </c>
      <c r="D7" s="163" t="s">
        <v>227</v>
      </c>
      <c r="E7" s="169">
        <v>45838</v>
      </c>
      <c r="F7" s="170" t="s">
        <v>360</v>
      </c>
      <c r="G7" s="169">
        <v>45838</v>
      </c>
      <c r="H7" s="171"/>
      <c r="I7" s="166" t="s">
        <v>251</v>
      </c>
      <c r="J7" s="166"/>
      <c r="K7" s="114" t="s">
        <v>219</v>
      </c>
      <c r="L7" s="166"/>
      <c r="M7" s="114" t="s">
        <v>220</v>
      </c>
      <c r="N7" s="114"/>
      <c r="O7" s="114" t="s">
        <v>373</v>
      </c>
      <c r="P7" s="114"/>
      <c r="Q7" s="114" t="s">
        <v>82</v>
      </c>
      <c r="R7" s="114"/>
      <c r="S7" s="114" t="s">
        <v>83</v>
      </c>
      <c r="T7" s="114"/>
      <c r="U7" s="56" t="s">
        <v>312</v>
      </c>
    </row>
    <row r="8" spans="3:21" x14ac:dyDescent="0.2">
      <c r="C8" s="172" t="s">
        <v>228</v>
      </c>
      <c r="D8" s="173">
        <v>50</v>
      </c>
      <c r="E8" s="174">
        <v>11970</v>
      </c>
      <c r="F8" s="174"/>
      <c r="G8" s="174">
        <f>SUM(E8,F8)</f>
        <v>11970</v>
      </c>
      <c r="H8" s="75"/>
      <c r="I8" s="175">
        <f t="shared" ref="I8:I35" si="0">ROUND(G8/D8,2)</f>
        <v>239.4</v>
      </c>
      <c r="J8" s="175"/>
      <c r="L8" s="175"/>
      <c r="M8" s="176">
        <f>I8</f>
        <v>239.4</v>
      </c>
      <c r="N8" s="176"/>
      <c r="O8" s="176"/>
      <c r="P8" s="176"/>
      <c r="R8" s="176"/>
      <c r="T8" s="176"/>
      <c r="U8" s="49">
        <f t="shared" ref="U8:U46" si="1">SUM(K8:S8)</f>
        <v>239.4</v>
      </c>
    </row>
    <row r="9" spans="3:21" ht="15" customHeight="1" x14ac:dyDescent="0.2">
      <c r="C9" s="172" t="s">
        <v>229</v>
      </c>
      <c r="D9" s="173">
        <v>50</v>
      </c>
      <c r="E9" s="174">
        <v>1634</v>
      </c>
      <c r="F9" s="174"/>
      <c r="G9" s="174">
        <f t="shared" ref="G9:G35" si="2">SUM(E9,F9)</f>
        <v>1634</v>
      </c>
      <c r="H9" s="75"/>
      <c r="I9" s="175">
        <f t="shared" si="0"/>
        <v>32.68</v>
      </c>
      <c r="J9" s="175"/>
      <c r="K9" s="176">
        <f>I9</f>
        <v>32.68</v>
      </c>
      <c r="L9" s="175"/>
      <c r="U9" s="49">
        <f t="shared" si="1"/>
        <v>32.68</v>
      </c>
    </row>
    <row r="10" spans="3:21" ht="15" customHeight="1" x14ac:dyDescent="0.2">
      <c r="C10" s="172" t="s">
        <v>230</v>
      </c>
      <c r="D10" s="173">
        <v>50</v>
      </c>
      <c r="E10" s="174">
        <v>54480</v>
      </c>
      <c r="F10" s="174"/>
      <c r="G10" s="174">
        <f t="shared" si="2"/>
        <v>54480</v>
      </c>
      <c r="H10" s="75"/>
      <c r="I10" s="175">
        <f t="shared" si="0"/>
        <v>1089.5999999999999</v>
      </c>
      <c r="J10" s="175"/>
      <c r="K10" s="176">
        <f t="shared" ref="K10:K11" si="3">I10</f>
        <v>1089.5999999999999</v>
      </c>
      <c r="L10" s="175"/>
      <c r="U10" s="49">
        <f t="shared" si="1"/>
        <v>1089.5999999999999</v>
      </c>
    </row>
    <row r="11" spans="3:21" ht="15.95" customHeight="1" x14ac:dyDescent="0.2">
      <c r="C11" s="172" t="s">
        <v>230</v>
      </c>
      <c r="D11" s="173">
        <v>50</v>
      </c>
      <c r="E11" s="174">
        <v>45667</v>
      </c>
      <c r="F11" s="174"/>
      <c r="G11" s="174">
        <f t="shared" si="2"/>
        <v>45667</v>
      </c>
      <c r="H11" s="75"/>
      <c r="I11" s="175">
        <f t="shared" si="0"/>
        <v>913.34</v>
      </c>
      <c r="J11" s="175"/>
      <c r="K11" s="176">
        <f t="shared" si="3"/>
        <v>913.34</v>
      </c>
      <c r="L11" s="175"/>
      <c r="U11" s="49">
        <f t="shared" si="1"/>
        <v>913.34</v>
      </c>
    </row>
    <row r="12" spans="3:21" ht="15" customHeight="1" x14ac:dyDescent="0.2">
      <c r="C12" s="172" t="s">
        <v>231</v>
      </c>
      <c r="D12" s="173">
        <v>50</v>
      </c>
      <c r="E12" s="174">
        <v>10364</v>
      </c>
      <c r="F12" s="174"/>
      <c r="G12" s="174">
        <f t="shared" si="2"/>
        <v>10364</v>
      </c>
      <c r="H12" s="75"/>
      <c r="I12" s="175">
        <f t="shared" si="0"/>
        <v>207.28</v>
      </c>
      <c r="J12" s="175"/>
      <c r="L12" s="175"/>
      <c r="M12" s="176">
        <f>I12</f>
        <v>207.28</v>
      </c>
      <c r="N12" s="176"/>
      <c r="O12" s="176"/>
      <c r="P12" s="176"/>
      <c r="R12" s="176"/>
      <c r="T12" s="176"/>
      <c r="U12" s="49">
        <f t="shared" si="1"/>
        <v>207.28</v>
      </c>
    </row>
    <row r="13" spans="3:21" ht="15.95" customHeight="1" x14ac:dyDescent="0.2">
      <c r="C13" s="172" t="s">
        <v>232</v>
      </c>
      <c r="D13" s="173">
        <v>40</v>
      </c>
      <c r="E13" s="174">
        <v>930336</v>
      </c>
      <c r="F13" s="174"/>
      <c r="G13" s="174">
        <f t="shared" si="2"/>
        <v>930336</v>
      </c>
      <c r="H13" s="75"/>
      <c r="I13" s="175">
        <f t="shared" si="0"/>
        <v>23258.400000000001</v>
      </c>
      <c r="J13" s="175"/>
      <c r="K13" s="176">
        <f>I13</f>
        <v>23258.400000000001</v>
      </c>
      <c r="L13" s="175"/>
      <c r="U13" s="49">
        <f t="shared" si="1"/>
        <v>23258.400000000001</v>
      </c>
    </row>
    <row r="14" spans="3:21" ht="15" customHeight="1" x14ac:dyDescent="0.2">
      <c r="C14" s="172" t="s">
        <v>233</v>
      </c>
      <c r="D14" s="173">
        <v>50</v>
      </c>
      <c r="E14" s="174">
        <v>1442206</v>
      </c>
      <c r="F14" s="174"/>
      <c r="G14" s="174">
        <f t="shared" si="2"/>
        <v>1442206</v>
      </c>
      <c r="H14" s="75"/>
      <c r="I14" s="175">
        <f t="shared" si="0"/>
        <v>28844.12</v>
      </c>
      <c r="J14" s="175"/>
      <c r="K14" s="176">
        <f>I14</f>
        <v>28844.12</v>
      </c>
      <c r="L14" s="175"/>
      <c r="U14" s="49">
        <f t="shared" si="1"/>
        <v>28844.12</v>
      </c>
    </row>
    <row r="15" spans="3:21" ht="15" customHeight="1" x14ac:dyDescent="0.2">
      <c r="C15" s="172" t="s">
        <v>234</v>
      </c>
      <c r="D15" s="173">
        <v>50</v>
      </c>
      <c r="E15" s="174">
        <v>4048</v>
      </c>
      <c r="F15" s="174"/>
      <c r="G15" s="174">
        <f t="shared" si="2"/>
        <v>4048</v>
      </c>
      <c r="H15" s="75"/>
      <c r="I15" s="175">
        <f t="shared" si="0"/>
        <v>80.959999999999994</v>
      </c>
      <c r="J15" s="175"/>
      <c r="K15" s="176">
        <f>I15</f>
        <v>80.959999999999994</v>
      </c>
      <c r="L15" s="175"/>
      <c r="U15" s="49">
        <f t="shared" si="1"/>
        <v>80.959999999999994</v>
      </c>
    </row>
    <row r="16" spans="3:21" ht="15" customHeight="1" x14ac:dyDescent="0.2">
      <c r="C16" s="172" t="s">
        <v>235</v>
      </c>
      <c r="D16" s="173">
        <v>50</v>
      </c>
      <c r="E16" s="174">
        <v>60890</v>
      </c>
      <c r="F16" s="174"/>
      <c r="G16" s="174">
        <f t="shared" si="2"/>
        <v>60890</v>
      </c>
      <c r="H16" s="75"/>
      <c r="I16" s="175">
        <f t="shared" si="0"/>
        <v>1217.8</v>
      </c>
      <c r="J16" s="175"/>
      <c r="K16" s="176">
        <f t="shared" ref="K16:K17" si="4">I16</f>
        <v>1217.8</v>
      </c>
      <c r="L16" s="175"/>
      <c r="U16" s="49">
        <f t="shared" si="1"/>
        <v>1217.8</v>
      </c>
    </row>
    <row r="17" spans="3:21" ht="15.95" customHeight="1" x14ac:dyDescent="0.2">
      <c r="C17" s="172" t="s">
        <v>235</v>
      </c>
      <c r="D17" s="173">
        <v>50</v>
      </c>
      <c r="E17" s="174">
        <v>4996</v>
      </c>
      <c r="F17" s="174"/>
      <c r="G17" s="174">
        <f t="shared" si="2"/>
        <v>4996</v>
      </c>
      <c r="H17" s="75"/>
      <c r="I17" s="175">
        <f t="shared" si="0"/>
        <v>99.92</v>
      </c>
      <c r="J17" s="175"/>
      <c r="K17" s="176">
        <f t="shared" si="4"/>
        <v>99.92</v>
      </c>
      <c r="L17" s="175"/>
      <c r="U17" s="49">
        <f t="shared" si="1"/>
        <v>99.92</v>
      </c>
    </row>
    <row r="18" spans="3:21" ht="15.95" customHeight="1" x14ac:dyDescent="0.2">
      <c r="C18" s="172" t="s">
        <v>236</v>
      </c>
      <c r="D18" s="173">
        <v>50</v>
      </c>
      <c r="E18" s="174">
        <v>26353</v>
      </c>
      <c r="F18" s="174"/>
      <c r="G18" s="174">
        <f t="shared" si="2"/>
        <v>26353</v>
      </c>
      <c r="H18" s="75"/>
      <c r="I18" s="175">
        <f t="shared" si="0"/>
        <v>527.05999999999995</v>
      </c>
      <c r="J18" s="175"/>
      <c r="L18" s="175"/>
      <c r="M18" s="176">
        <f>I18</f>
        <v>527.05999999999995</v>
      </c>
      <c r="N18" s="176"/>
      <c r="O18" s="176"/>
      <c r="P18" s="176"/>
      <c r="R18" s="176"/>
      <c r="T18" s="176"/>
      <c r="U18" s="49">
        <f t="shared" si="1"/>
        <v>527.05999999999995</v>
      </c>
    </row>
    <row r="19" spans="3:21" ht="15" customHeight="1" x14ac:dyDescent="0.2">
      <c r="C19" s="172" t="s">
        <v>237</v>
      </c>
      <c r="D19" s="173">
        <v>50</v>
      </c>
      <c r="E19" s="174">
        <v>38670</v>
      </c>
      <c r="F19" s="174"/>
      <c r="G19" s="174">
        <f t="shared" si="2"/>
        <v>38670</v>
      </c>
      <c r="H19" s="75"/>
      <c r="I19" s="175">
        <f t="shared" si="0"/>
        <v>773.4</v>
      </c>
      <c r="J19" s="175"/>
      <c r="L19" s="175"/>
      <c r="M19" s="176">
        <f>I19</f>
        <v>773.4</v>
      </c>
      <c r="N19" s="176"/>
      <c r="O19" s="176"/>
      <c r="P19" s="176"/>
      <c r="R19" s="176"/>
      <c r="T19" s="176"/>
      <c r="U19" s="49">
        <f t="shared" si="1"/>
        <v>773.4</v>
      </c>
    </row>
    <row r="20" spans="3:21" ht="15.95" customHeight="1" x14ac:dyDescent="0.2">
      <c r="C20" s="172" t="s">
        <v>238</v>
      </c>
      <c r="D20" s="173">
        <v>50</v>
      </c>
      <c r="E20" s="174">
        <v>9800</v>
      </c>
      <c r="F20" s="174"/>
      <c r="G20" s="174">
        <f t="shared" si="2"/>
        <v>9800</v>
      </c>
      <c r="H20" s="75"/>
      <c r="I20" s="175">
        <f t="shared" si="0"/>
        <v>196</v>
      </c>
      <c r="J20" s="175"/>
      <c r="L20" s="175"/>
      <c r="M20" s="176"/>
      <c r="N20" s="176"/>
      <c r="O20" s="176"/>
      <c r="P20" s="176"/>
      <c r="Q20" s="176">
        <f>I20</f>
        <v>196</v>
      </c>
      <c r="R20" s="176"/>
      <c r="T20" s="176"/>
      <c r="U20" s="49">
        <f t="shared" si="1"/>
        <v>196</v>
      </c>
    </row>
    <row r="21" spans="3:21" x14ac:dyDescent="0.2">
      <c r="C21" s="172" t="s">
        <v>239</v>
      </c>
      <c r="D21" s="173">
        <v>50</v>
      </c>
      <c r="E21" s="174">
        <v>6613</v>
      </c>
      <c r="F21" s="174"/>
      <c r="G21" s="174">
        <f t="shared" si="2"/>
        <v>6613</v>
      </c>
      <c r="H21" s="76"/>
      <c r="I21" s="175">
        <f t="shared" si="0"/>
        <v>132.26</v>
      </c>
      <c r="J21" s="175"/>
      <c r="L21" s="175"/>
      <c r="M21" s="176"/>
      <c r="N21" s="176"/>
      <c r="O21" s="176"/>
      <c r="P21" s="176"/>
      <c r="Q21" s="176">
        <f>I21</f>
        <v>132.26</v>
      </c>
      <c r="R21" s="176"/>
      <c r="T21" s="176"/>
      <c r="U21" s="49">
        <f t="shared" si="1"/>
        <v>132.26</v>
      </c>
    </row>
    <row r="22" spans="3:21" x14ac:dyDescent="0.2">
      <c r="C22" s="172" t="s">
        <v>239</v>
      </c>
      <c r="D22" s="173">
        <v>50</v>
      </c>
      <c r="E22" s="174">
        <v>38201</v>
      </c>
      <c r="F22" s="174"/>
      <c r="G22" s="174">
        <f t="shared" si="2"/>
        <v>38201</v>
      </c>
      <c r="H22" s="76"/>
      <c r="I22" s="175">
        <f t="shared" si="0"/>
        <v>764.02</v>
      </c>
      <c r="J22" s="175"/>
      <c r="L22" s="175"/>
      <c r="M22" s="176"/>
      <c r="N22" s="176"/>
      <c r="O22" s="176"/>
      <c r="P22" s="176"/>
      <c r="Q22" s="176">
        <f>I22</f>
        <v>764.02</v>
      </c>
      <c r="R22" s="176"/>
      <c r="T22" s="176"/>
      <c r="U22" s="49">
        <f t="shared" si="1"/>
        <v>764.02</v>
      </c>
    </row>
    <row r="23" spans="3:21" x14ac:dyDescent="0.2">
      <c r="C23" s="172" t="s">
        <v>240</v>
      </c>
      <c r="D23" s="173">
        <v>50</v>
      </c>
      <c r="E23" s="174">
        <v>7692</v>
      </c>
      <c r="F23" s="174"/>
      <c r="G23" s="174">
        <f t="shared" si="2"/>
        <v>7692</v>
      </c>
      <c r="H23" s="76"/>
      <c r="I23" s="175">
        <f t="shared" si="0"/>
        <v>153.84</v>
      </c>
      <c r="J23" s="175"/>
      <c r="L23" s="175"/>
      <c r="M23" s="176">
        <f>I23</f>
        <v>153.84</v>
      </c>
      <c r="N23" s="176"/>
      <c r="O23" s="176"/>
      <c r="P23" s="176"/>
      <c r="R23" s="176"/>
      <c r="T23" s="176"/>
      <c r="U23" s="49">
        <f t="shared" si="1"/>
        <v>153.84</v>
      </c>
    </row>
    <row r="24" spans="3:21" x14ac:dyDescent="0.2">
      <c r="C24" s="172" t="s">
        <v>240</v>
      </c>
      <c r="D24" s="173">
        <v>50</v>
      </c>
      <c r="E24" s="174">
        <v>6204</v>
      </c>
      <c r="F24" s="174"/>
      <c r="G24" s="174">
        <f t="shared" si="2"/>
        <v>6204</v>
      </c>
      <c r="H24" s="76"/>
      <c r="I24" s="175">
        <f t="shared" si="0"/>
        <v>124.08</v>
      </c>
      <c r="J24" s="175"/>
      <c r="L24" s="175"/>
      <c r="M24" s="176">
        <f>I24</f>
        <v>124.08</v>
      </c>
      <c r="N24" s="176"/>
      <c r="O24" s="176"/>
      <c r="P24" s="176"/>
      <c r="R24" s="176"/>
      <c r="T24" s="176"/>
      <c r="U24" s="49">
        <f t="shared" si="1"/>
        <v>124.08</v>
      </c>
    </row>
    <row r="25" spans="3:21" x14ac:dyDescent="0.2">
      <c r="C25" s="172" t="s">
        <v>241</v>
      </c>
      <c r="D25" s="173">
        <v>20</v>
      </c>
      <c r="E25" s="174">
        <v>321511</v>
      </c>
      <c r="F25" s="174"/>
      <c r="G25" s="174">
        <f t="shared" si="2"/>
        <v>321511</v>
      </c>
      <c r="H25" s="76"/>
      <c r="I25" s="175">
        <f t="shared" si="0"/>
        <v>16075.55</v>
      </c>
      <c r="J25" s="175"/>
      <c r="L25" s="175"/>
      <c r="M25" s="176">
        <f>I25</f>
        <v>16075.55</v>
      </c>
      <c r="N25" s="176"/>
      <c r="O25" s="176"/>
      <c r="P25" s="176"/>
      <c r="R25" s="176"/>
      <c r="T25" s="176"/>
      <c r="U25" s="49">
        <f t="shared" si="1"/>
        <v>16075.55</v>
      </c>
    </row>
    <row r="26" spans="3:21" x14ac:dyDescent="0.2">
      <c r="C26" s="172" t="s">
        <v>242</v>
      </c>
      <c r="D26" s="173">
        <v>20</v>
      </c>
      <c r="E26" s="174">
        <v>46200</v>
      </c>
      <c r="F26" s="174"/>
      <c r="G26" s="174">
        <f t="shared" si="2"/>
        <v>46200</v>
      </c>
      <c r="H26" s="76"/>
      <c r="I26" s="175">
        <f t="shared" si="0"/>
        <v>2310</v>
      </c>
      <c r="J26" s="175"/>
      <c r="K26" s="176">
        <f>I26</f>
        <v>2310</v>
      </c>
      <c r="L26" s="175"/>
      <c r="U26" s="49">
        <f t="shared" si="1"/>
        <v>2310</v>
      </c>
    </row>
    <row r="27" spans="3:21" x14ac:dyDescent="0.2">
      <c r="C27" s="172" t="s">
        <v>243</v>
      </c>
      <c r="D27" s="173">
        <v>20</v>
      </c>
      <c r="E27" s="174">
        <v>17900</v>
      </c>
      <c r="F27" s="174"/>
      <c r="G27" s="174">
        <f t="shared" si="2"/>
        <v>17900</v>
      </c>
      <c r="H27" s="76"/>
      <c r="I27" s="175">
        <f t="shared" si="0"/>
        <v>895</v>
      </c>
      <c r="J27" s="175"/>
      <c r="K27" s="176">
        <f>I27</f>
        <v>895</v>
      </c>
      <c r="L27" s="175"/>
      <c r="U27" s="49">
        <f t="shared" si="1"/>
        <v>895</v>
      </c>
    </row>
    <row r="28" spans="3:21" x14ac:dyDescent="0.2">
      <c r="C28" s="172" t="s">
        <v>244</v>
      </c>
      <c r="D28" s="173">
        <v>50</v>
      </c>
      <c r="E28" s="174">
        <v>104370</v>
      </c>
      <c r="F28" s="174"/>
      <c r="G28" s="174">
        <f t="shared" si="2"/>
        <v>104370</v>
      </c>
      <c r="H28" s="77"/>
      <c r="I28" s="175">
        <f t="shared" si="0"/>
        <v>2087.4</v>
      </c>
      <c r="J28" s="175"/>
      <c r="K28" s="176"/>
      <c r="L28" s="175"/>
      <c r="Q28" s="176">
        <f>I28</f>
        <v>2087.4</v>
      </c>
      <c r="U28" s="49">
        <f t="shared" si="1"/>
        <v>2087.4</v>
      </c>
    </row>
    <row r="29" spans="3:21" x14ac:dyDescent="0.2">
      <c r="C29" s="172" t="s">
        <v>245</v>
      </c>
      <c r="D29" s="173">
        <v>15</v>
      </c>
      <c r="E29" s="174">
        <v>7325</v>
      </c>
      <c r="F29" s="174"/>
      <c r="G29" s="174">
        <f t="shared" si="2"/>
        <v>7325</v>
      </c>
      <c r="H29" s="77"/>
      <c r="I29" s="175">
        <f t="shared" si="0"/>
        <v>488.33</v>
      </c>
      <c r="J29" s="175"/>
      <c r="K29" s="176"/>
      <c r="L29" s="175"/>
      <c r="M29" s="176">
        <f>I29</f>
        <v>488.33</v>
      </c>
      <c r="N29" s="176"/>
      <c r="O29" s="176"/>
      <c r="P29" s="176"/>
      <c r="R29" s="176"/>
      <c r="T29" s="176"/>
      <c r="U29" s="49">
        <f t="shared" si="1"/>
        <v>488.33</v>
      </c>
    </row>
    <row r="30" spans="3:21" x14ac:dyDescent="0.2">
      <c r="C30" s="177" t="s">
        <v>370</v>
      </c>
      <c r="D30" s="178">
        <v>15</v>
      </c>
      <c r="E30" s="179">
        <v>3736218</v>
      </c>
      <c r="F30" s="179">
        <v>-3372593</v>
      </c>
      <c r="G30" s="179">
        <f t="shared" si="2"/>
        <v>363625</v>
      </c>
      <c r="H30" s="112"/>
      <c r="I30" s="180">
        <f t="shared" si="0"/>
        <v>24241.67</v>
      </c>
      <c r="J30" s="180"/>
      <c r="K30" s="181"/>
      <c r="L30" s="180"/>
      <c r="M30" s="181"/>
      <c r="N30" s="181"/>
      <c r="O30" s="181">
        <f>I30</f>
        <v>24241.67</v>
      </c>
      <c r="P30" s="181"/>
      <c r="Q30" s="167"/>
      <c r="R30" s="181"/>
      <c r="S30" s="167"/>
      <c r="T30" s="181"/>
      <c r="U30" s="182">
        <f t="shared" si="1"/>
        <v>24241.67</v>
      </c>
    </row>
    <row r="31" spans="3:21" x14ac:dyDescent="0.2">
      <c r="C31" s="172" t="s">
        <v>246</v>
      </c>
      <c r="D31" s="173">
        <v>15</v>
      </c>
      <c r="E31" s="174">
        <v>7214</v>
      </c>
      <c r="F31" s="174"/>
      <c r="G31" s="174">
        <f t="shared" si="2"/>
        <v>7214</v>
      </c>
      <c r="H31" s="77"/>
      <c r="I31" s="175">
        <f t="shared" si="0"/>
        <v>480.93</v>
      </c>
      <c r="J31" s="175"/>
      <c r="K31" s="176">
        <f t="shared" ref="K31:K35" si="5">I31</f>
        <v>480.93</v>
      </c>
      <c r="L31" s="175"/>
      <c r="U31" s="49">
        <f t="shared" si="1"/>
        <v>480.93</v>
      </c>
    </row>
    <row r="32" spans="3:21" x14ac:dyDescent="0.2">
      <c r="C32" s="172" t="s">
        <v>246</v>
      </c>
      <c r="D32" s="173">
        <v>15</v>
      </c>
      <c r="E32" s="174">
        <v>8542</v>
      </c>
      <c r="F32" s="174"/>
      <c r="G32" s="174">
        <f t="shared" si="2"/>
        <v>8542</v>
      </c>
      <c r="H32" s="77"/>
      <c r="I32" s="175">
        <f t="shared" si="0"/>
        <v>569.47</v>
      </c>
      <c r="J32" s="175"/>
      <c r="K32" s="176">
        <f t="shared" si="5"/>
        <v>569.47</v>
      </c>
      <c r="L32" s="175"/>
      <c r="U32" s="49">
        <f t="shared" si="1"/>
        <v>569.47</v>
      </c>
    </row>
    <row r="33" spans="3:21" x14ac:dyDescent="0.2">
      <c r="C33" s="172" t="s">
        <v>247</v>
      </c>
      <c r="D33" s="173">
        <v>5</v>
      </c>
      <c r="E33" s="174">
        <v>10469</v>
      </c>
      <c r="F33" s="174"/>
      <c r="G33" s="174">
        <f t="shared" si="2"/>
        <v>10469</v>
      </c>
      <c r="H33" s="77"/>
      <c r="I33" s="175">
        <f t="shared" si="0"/>
        <v>2093.8000000000002</v>
      </c>
      <c r="J33" s="175"/>
      <c r="K33" s="176">
        <f t="shared" si="5"/>
        <v>2093.8000000000002</v>
      </c>
      <c r="L33" s="175"/>
      <c r="U33" s="49">
        <f t="shared" si="1"/>
        <v>2093.8000000000002</v>
      </c>
    </row>
    <row r="34" spans="3:21" x14ac:dyDescent="0.2">
      <c r="C34" s="172" t="s">
        <v>248</v>
      </c>
      <c r="D34" s="173">
        <v>15</v>
      </c>
      <c r="E34" s="174">
        <v>11950</v>
      </c>
      <c r="F34" s="174"/>
      <c r="G34" s="174">
        <f t="shared" si="2"/>
        <v>11950</v>
      </c>
      <c r="H34" s="77"/>
      <c r="I34" s="175">
        <f t="shared" si="0"/>
        <v>796.67</v>
      </c>
      <c r="J34" s="175"/>
      <c r="K34" s="176">
        <f t="shared" si="5"/>
        <v>796.67</v>
      </c>
      <c r="L34" s="175"/>
      <c r="U34" s="49">
        <f t="shared" si="1"/>
        <v>796.67</v>
      </c>
    </row>
    <row r="35" spans="3:21" x14ac:dyDescent="0.2">
      <c r="C35" s="172" t="s">
        <v>249</v>
      </c>
      <c r="D35" s="173">
        <v>15</v>
      </c>
      <c r="E35" s="174">
        <v>7328</v>
      </c>
      <c r="F35" s="174"/>
      <c r="G35" s="174">
        <f t="shared" si="2"/>
        <v>7328</v>
      </c>
      <c r="H35" s="77"/>
      <c r="I35" s="175">
        <f t="shared" si="0"/>
        <v>488.53</v>
      </c>
      <c r="J35" s="175"/>
      <c r="K35" s="176">
        <f t="shared" si="5"/>
        <v>488.53</v>
      </c>
      <c r="L35" s="175"/>
      <c r="U35" s="182">
        <f t="shared" si="1"/>
        <v>488.53</v>
      </c>
    </row>
    <row r="36" spans="3:21" x14ac:dyDescent="0.2">
      <c r="C36" s="167" t="s">
        <v>418</v>
      </c>
      <c r="D36" s="178">
        <v>10</v>
      </c>
      <c r="E36" s="183">
        <v>5858.23</v>
      </c>
      <c r="F36" s="179"/>
      <c r="G36" s="179">
        <f t="shared" ref="G36:G46" si="6">SUM(E36,F36)</f>
        <v>5858.23</v>
      </c>
      <c r="H36" s="112"/>
      <c r="I36" s="180">
        <f t="shared" ref="I36:I46" si="7">ROUND(G36/D36,2)</f>
        <v>585.82000000000005</v>
      </c>
      <c r="J36" s="180"/>
      <c r="K36" s="167"/>
      <c r="L36" s="180"/>
      <c r="M36" s="181">
        <f>I36</f>
        <v>585.82000000000005</v>
      </c>
      <c r="N36" s="167"/>
      <c r="O36" s="167"/>
      <c r="P36" s="167"/>
      <c r="Q36" s="167"/>
      <c r="R36" s="167"/>
      <c r="S36" s="167"/>
      <c r="T36" s="167"/>
      <c r="U36" s="182">
        <f t="shared" si="1"/>
        <v>585.82000000000005</v>
      </c>
    </row>
    <row r="37" spans="3:21" x14ac:dyDescent="0.2">
      <c r="C37" s="167" t="s">
        <v>419</v>
      </c>
      <c r="D37" s="178">
        <v>10</v>
      </c>
      <c r="E37" s="183">
        <v>4528.74</v>
      </c>
      <c r="F37" s="179"/>
      <c r="G37" s="179">
        <f t="shared" si="6"/>
        <v>4528.74</v>
      </c>
      <c r="H37" s="112"/>
      <c r="I37" s="180">
        <f t="shared" si="7"/>
        <v>452.87</v>
      </c>
      <c r="J37" s="180"/>
      <c r="K37" s="167"/>
      <c r="L37" s="180"/>
      <c r="M37" s="181">
        <f>I37</f>
        <v>452.87</v>
      </c>
      <c r="N37" s="167"/>
      <c r="O37" s="167"/>
      <c r="P37" s="167"/>
      <c r="Q37" s="167"/>
      <c r="R37" s="167"/>
      <c r="S37" s="167"/>
      <c r="T37" s="167"/>
      <c r="U37" s="182">
        <f t="shared" si="1"/>
        <v>452.87</v>
      </c>
    </row>
    <row r="38" spans="3:21" x14ac:dyDescent="0.2">
      <c r="C38" s="167" t="s">
        <v>420</v>
      </c>
      <c r="D38" s="178">
        <v>10</v>
      </c>
      <c r="E38" s="183">
        <v>7185.48</v>
      </c>
      <c r="F38" s="179"/>
      <c r="G38" s="179">
        <f t="shared" si="6"/>
        <v>7185.48</v>
      </c>
      <c r="H38" s="112"/>
      <c r="I38" s="180">
        <f t="shared" si="7"/>
        <v>718.55</v>
      </c>
      <c r="J38" s="180"/>
      <c r="K38" s="181">
        <f>I38</f>
        <v>718.55</v>
      </c>
      <c r="L38" s="180"/>
      <c r="M38" s="167"/>
      <c r="N38" s="167"/>
      <c r="O38" s="167"/>
      <c r="P38" s="167"/>
      <c r="Q38" s="167"/>
      <c r="R38" s="167"/>
      <c r="S38" s="167"/>
      <c r="T38" s="167"/>
      <c r="U38" s="182">
        <f t="shared" si="1"/>
        <v>718.55</v>
      </c>
    </row>
    <row r="39" spans="3:21" x14ac:dyDescent="0.2">
      <c r="C39" s="167" t="s">
        <v>421</v>
      </c>
      <c r="D39" s="178">
        <v>15</v>
      </c>
      <c r="E39" s="183">
        <v>15800</v>
      </c>
      <c r="F39" s="179"/>
      <c r="G39" s="179">
        <f t="shared" si="6"/>
        <v>15800</v>
      </c>
      <c r="H39" s="112"/>
      <c r="I39" s="180">
        <f t="shared" si="7"/>
        <v>1053.33</v>
      </c>
      <c r="J39" s="180"/>
      <c r="K39" s="181">
        <f t="shared" ref="K39:K40" si="8">I39</f>
        <v>1053.33</v>
      </c>
      <c r="L39" s="180"/>
      <c r="M39" s="167"/>
      <c r="N39" s="167"/>
      <c r="O39" s="167"/>
      <c r="P39" s="167"/>
      <c r="Q39" s="167"/>
      <c r="R39" s="167"/>
      <c r="S39" s="167"/>
      <c r="T39" s="167"/>
      <c r="U39" s="182">
        <f t="shared" si="1"/>
        <v>1053.33</v>
      </c>
    </row>
    <row r="40" spans="3:21" x14ac:dyDescent="0.2">
      <c r="C40" s="167" t="s">
        <v>422</v>
      </c>
      <c r="D40" s="178">
        <v>10</v>
      </c>
      <c r="E40" s="183">
        <v>5244.49</v>
      </c>
      <c r="F40" s="179"/>
      <c r="G40" s="179">
        <f t="shared" si="6"/>
        <v>5244.49</v>
      </c>
      <c r="H40" s="112"/>
      <c r="I40" s="180">
        <f t="shared" si="7"/>
        <v>524.45000000000005</v>
      </c>
      <c r="J40" s="180"/>
      <c r="K40" s="181">
        <f t="shared" si="8"/>
        <v>524.45000000000005</v>
      </c>
      <c r="L40" s="180"/>
      <c r="M40" s="167"/>
      <c r="N40" s="167"/>
      <c r="O40" s="167"/>
      <c r="P40" s="167"/>
      <c r="Q40" s="167"/>
      <c r="R40" s="167"/>
      <c r="S40" s="167"/>
      <c r="T40" s="167"/>
      <c r="U40" s="182">
        <f t="shared" si="1"/>
        <v>524.45000000000005</v>
      </c>
    </row>
    <row r="41" spans="3:21" x14ac:dyDescent="0.2">
      <c r="C41" s="167" t="s">
        <v>423</v>
      </c>
      <c r="D41" s="178">
        <v>5</v>
      </c>
      <c r="E41" s="183">
        <v>29885</v>
      </c>
      <c r="F41" s="179"/>
      <c r="G41" s="179">
        <f t="shared" si="6"/>
        <v>29885</v>
      </c>
      <c r="H41" s="112"/>
      <c r="I41" s="180">
        <f t="shared" si="7"/>
        <v>5977</v>
      </c>
      <c r="J41" s="180"/>
      <c r="K41" s="181">
        <f>ROUND($I41*0.5,2)</f>
        <v>2988.5</v>
      </c>
      <c r="L41" s="180"/>
      <c r="M41" s="181">
        <f>ROUND($I41*0,2)</f>
        <v>0</v>
      </c>
      <c r="N41" s="167"/>
      <c r="O41" s="181">
        <f>ROUND($I41*0,2)</f>
        <v>0</v>
      </c>
      <c r="P41" s="167"/>
      <c r="Q41" s="181">
        <f>ROUND($I41*'Emp Sal Adj'!R$38,2)</f>
        <v>0</v>
      </c>
      <c r="R41" s="167"/>
      <c r="S41" s="181">
        <f>ROUND($I41*'Emp Sal Adj'!T$38,2)</f>
        <v>0</v>
      </c>
      <c r="T41" s="167"/>
      <c r="U41" s="182">
        <f t="shared" si="1"/>
        <v>2988.5</v>
      </c>
    </row>
    <row r="42" spans="3:21" x14ac:dyDescent="0.2">
      <c r="C42" s="167" t="s">
        <v>424</v>
      </c>
      <c r="D42" s="178">
        <v>5</v>
      </c>
      <c r="E42" s="183">
        <v>44142</v>
      </c>
      <c r="F42" s="179"/>
      <c r="G42" s="179">
        <f t="shared" si="6"/>
        <v>44142</v>
      </c>
      <c r="H42" s="112"/>
      <c r="I42" s="180">
        <f t="shared" si="7"/>
        <v>8828.4</v>
      </c>
      <c r="J42" s="180"/>
      <c r="K42" s="181">
        <f>ROUND($I42*1,2)</f>
        <v>8828.4</v>
      </c>
      <c r="L42" s="180"/>
      <c r="M42" s="181">
        <f>ROUND($I42*0,2)</f>
        <v>0</v>
      </c>
      <c r="N42" s="167"/>
      <c r="O42" s="181">
        <f>ROUND($I42*0,2)</f>
        <v>0</v>
      </c>
      <c r="P42" s="167"/>
      <c r="Q42" s="181">
        <f>ROUND($I42*'Emp Sal Adj'!R$38,2)</f>
        <v>0</v>
      </c>
      <c r="R42" s="167"/>
      <c r="S42" s="181">
        <f>ROUND($I42*'Emp Sal Adj'!T$38,2)</f>
        <v>0</v>
      </c>
      <c r="T42" s="167"/>
      <c r="U42" s="182">
        <f t="shared" si="1"/>
        <v>8828.4</v>
      </c>
    </row>
    <row r="43" spans="3:21" x14ac:dyDescent="0.2">
      <c r="C43" s="167" t="s">
        <v>425</v>
      </c>
      <c r="D43" s="178">
        <v>5</v>
      </c>
      <c r="E43" s="183">
        <v>70048</v>
      </c>
      <c r="F43" s="179"/>
      <c r="G43" s="179">
        <f t="shared" si="6"/>
        <v>70048</v>
      </c>
      <c r="H43" s="112"/>
      <c r="I43" s="180">
        <f t="shared" si="7"/>
        <v>14009.6</v>
      </c>
      <c r="J43" s="180"/>
      <c r="K43" s="181">
        <f>ROUND($I43*0,2)</f>
        <v>0</v>
      </c>
      <c r="L43" s="180"/>
      <c r="M43" s="181">
        <f>ROUND($I43*1,2)</f>
        <v>14009.6</v>
      </c>
      <c r="N43" s="167"/>
      <c r="O43" s="181">
        <f>ROUND($I43*0,2)</f>
        <v>0</v>
      </c>
      <c r="P43" s="167"/>
      <c r="Q43" s="181">
        <f>ROUND($I43*'Emp Sal Adj'!R$38,2)</f>
        <v>0</v>
      </c>
      <c r="R43" s="167"/>
      <c r="S43" s="181">
        <f>ROUND($I43*'Emp Sal Adj'!T$38,2)</f>
        <v>0</v>
      </c>
      <c r="T43" s="167"/>
      <c r="U43" s="182">
        <f t="shared" si="1"/>
        <v>14009.6</v>
      </c>
    </row>
    <row r="44" spans="3:21" x14ac:dyDescent="0.2">
      <c r="C44" s="167" t="s">
        <v>426</v>
      </c>
      <c r="D44" s="178">
        <v>5</v>
      </c>
      <c r="E44" s="183">
        <v>96888</v>
      </c>
      <c r="F44" s="179"/>
      <c r="G44" s="179">
        <f t="shared" si="6"/>
        <v>96888</v>
      </c>
      <c r="H44" s="112"/>
      <c r="I44" s="180">
        <f t="shared" si="7"/>
        <v>19377.599999999999</v>
      </c>
      <c r="J44" s="180"/>
      <c r="K44" s="181">
        <f>ROUND($I44*0,2)</f>
        <v>0</v>
      </c>
      <c r="L44" s="180"/>
      <c r="M44" s="181">
        <f>ROUND($I44*0.5,2)</f>
        <v>9688.7999999999993</v>
      </c>
      <c r="N44" s="167"/>
      <c r="O44" s="181">
        <f>ROUND($I44*0,2)</f>
        <v>0</v>
      </c>
      <c r="P44" s="167"/>
      <c r="Q44" s="181">
        <f>ROUND($I44*'Emp Sal Adj'!R$38,2)</f>
        <v>0</v>
      </c>
      <c r="R44" s="167"/>
      <c r="S44" s="181">
        <f>ROUND($I44*'Emp Sal Adj'!T$38,2)</f>
        <v>0</v>
      </c>
      <c r="T44" s="167"/>
      <c r="U44" s="182">
        <f t="shared" si="1"/>
        <v>9688.7999999999993</v>
      </c>
    </row>
    <row r="45" spans="3:21" x14ac:dyDescent="0.2">
      <c r="C45" s="167" t="s">
        <v>427</v>
      </c>
      <c r="D45" s="178">
        <v>10</v>
      </c>
      <c r="E45" s="183">
        <v>16005</v>
      </c>
      <c r="F45" s="179"/>
      <c r="G45" s="179">
        <f t="shared" si="6"/>
        <v>16005</v>
      </c>
      <c r="H45" s="112"/>
      <c r="I45" s="180">
        <f t="shared" si="7"/>
        <v>1600.5</v>
      </c>
      <c r="J45" s="180"/>
      <c r="K45" s="167"/>
      <c r="L45" s="180"/>
      <c r="M45" s="181">
        <f>I45</f>
        <v>1600.5</v>
      </c>
      <c r="N45" s="167"/>
      <c r="O45" s="167"/>
      <c r="P45" s="167"/>
      <c r="Q45" s="167"/>
      <c r="R45" s="167"/>
      <c r="S45" s="167"/>
      <c r="T45" s="167"/>
      <c r="U45" s="182">
        <f t="shared" si="1"/>
        <v>1600.5</v>
      </c>
    </row>
    <row r="46" spans="3:21" x14ac:dyDescent="0.2">
      <c r="C46" s="167" t="s">
        <v>428</v>
      </c>
      <c r="D46" s="178">
        <v>30</v>
      </c>
      <c r="E46" s="183">
        <v>200000</v>
      </c>
      <c r="F46" s="179"/>
      <c r="G46" s="179">
        <f t="shared" si="6"/>
        <v>200000</v>
      </c>
      <c r="H46" s="112"/>
      <c r="I46" s="180">
        <f t="shared" si="7"/>
        <v>6666.67</v>
      </c>
      <c r="J46" s="180"/>
      <c r="K46" s="181">
        <f>I46</f>
        <v>6666.67</v>
      </c>
      <c r="L46" s="180"/>
      <c r="M46" s="167"/>
      <c r="N46" s="167"/>
      <c r="O46" s="167"/>
      <c r="P46" s="167"/>
      <c r="Q46" s="167"/>
      <c r="R46" s="167"/>
      <c r="S46" s="167"/>
      <c r="T46" s="167"/>
      <c r="U46" s="182">
        <f t="shared" si="1"/>
        <v>6666.67</v>
      </c>
    </row>
    <row r="47" spans="3:21" x14ac:dyDescent="0.2">
      <c r="C47" s="172"/>
      <c r="D47" s="173"/>
      <c r="E47" s="174"/>
      <c r="F47" s="174"/>
      <c r="G47" s="174"/>
      <c r="H47" s="77"/>
      <c r="I47" s="175"/>
      <c r="J47" s="175"/>
      <c r="L47" s="175"/>
    </row>
    <row r="48" spans="3:21" ht="15.75" x14ac:dyDescent="0.2">
      <c r="C48" s="73" t="s">
        <v>4</v>
      </c>
      <c r="E48" s="184">
        <f>SUM(E8:E47)</f>
        <v>7474735.9400000013</v>
      </c>
      <c r="G48" s="184">
        <f>SUM(G8:G47)</f>
        <v>4102142.9400000004</v>
      </c>
      <c r="H48" s="78"/>
      <c r="I48" s="78">
        <f>SUM(I8:I47)</f>
        <v>168976.3</v>
      </c>
      <c r="J48" s="185"/>
      <c r="K48" s="78">
        <f>SUM(K8:K47)</f>
        <v>83951.12</v>
      </c>
      <c r="L48" s="185"/>
      <c r="M48" s="78">
        <f>SUM(M8:M47)</f>
        <v>44926.53</v>
      </c>
      <c r="N48" s="78"/>
      <c r="O48" s="78">
        <f>SUM(O8:O47)</f>
        <v>24241.67</v>
      </c>
      <c r="P48" s="78"/>
      <c r="Q48" s="78">
        <f>SUM(Q8:Q47)</f>
        <v>3179.6800000000003</v>
      </c>
      <c r="R48" s="78"/>
      <c r="S48" s="78">
        <f>SUM(S8:S47)</f>
        <v>0</v>
      </c>
      <c r="T48" s="78"/>
      <c r="U48" s="78">
        <f>SUM(U8:U47)</f>
        <v>156298.99999999997</v>
      </c>
    </row>
    <row r="50" spans="3:21" x14ac:dyDescent="0.2">
      <c r="C50" s="73" t="s">
        <v>92</v>
      </c>
      <c r="E50" s="174"/>
      <c r="G50" s="174"/>
      <c r="K50" s="83">
        <f>ROUND(K48/$I48,5)</f>
        <v>0.49681999999999998</v>
      </c>
      <c r="M50" s="83">
        <f t="shared" ref="M50:S50" si="9">ROUND(M48/$I48,5)</f>
        <v>0.26587</v>
      </c>
      <c r="N50" s="83"/>
      <c r="O50" s="83">
        <f t="shared" ref="O50" si="10">ROUND(O48/$I48,5)</f>
        <v>0.14346</v>
      </c>
      <c r="P50" s="83"/>
      <c r="Q50" s="83">
        <f t="shared" si="9"/>
        <v>1.882E-2</v>
      </c>
      <c r="R50" s="83"/>
      <c r="S50" s="83">
        <f t="shared" si="9"/>
        <v>0</v>
      </c>
      <c r="T50" s="83"/>
      <c r="U50" s="186">
        <f>SUM(K50:S50)</f>
        <v>0.92496999999999996</v>
      </c>
    </row>
    <row r="51" spans="3:21" x14ac:dyDescent="0.2">
      <c r="I51" s="79"/>
    </row>
    <row r="52" spans="3:21" ht="15.75" x14ac:dyDescent="0.2">
      <c r="C52" s="80"/>
      <c r="I52" s="79"/>
    </row>
    <row r="53" spans="3:21" ht="15.75" x14ac:dyDescent="0.2">
      <c r="C53" s="73" t="s">
        <v>356</v>
      </c>
      <c r="I53" s="78"/>
      <c r="K53" s="74">
        <f>$I48*K50</f>
        <v>83950.805365999986</v>
      </c>
      <c r="M53" s="74">
        <f t="shared" ref="M53:S53" si="11">$I48*M50</f>
        <v>44925.728880999995</v>
      </c>
      <c r="N53" s="74"/>
      <c r="O53" s="74">
        <f t="shared" ref="O53" si="12">$I48*O50</f>
        <v>24241.339997999999</v>
      </c>
      <c r="P53" s="74"/>
      <c r="Q53" s="74">
        <f t="shared" si="11"/>
        <v>3180.1339659999999</v>
      </c>
      <c r="R53" s="74"/>
      <c r="S53" s="74">
        <f t="shared" si="11"/>
        <v>0</v>
      </c>
      <c r="T53" s="74"/>
      <c r="U53" s="49">
        <f>SUM(K53:S53)</f>
        <v>156298.00821099998</v>
      </c>
    </row>
    <row r="62" spans="3:21" ht="15" customHeight="1" x14ac:dyDescent="0.2"/>
  </sheetData>
  <mergeCells count="3">
    <mergeCell ref="C2:U2"/>
    <mergeCell ref="C3:U3"/>
    <mergeCell ref="C4:U4"/>
  </mergeCells>
  <pageMargins left="0.7" right="0.7" top="0.75" bottom="0.75" header="0.3" footer="0.3"/>
  <ignoredErrors>
    <ignoredError sqref="G8:U50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Trial Balance</vt:lpstr>
      <vt:lpstr>Ref</vt:lpstr>
      <vt:lpstr>Emp Exp</vt:lpstr>
      <vt:lpstr>Emp Sal</vt:lpstr>
      <vt:lpstr>Emp Ins</vt:lpstr>
      <vt:lpstr>Emp Sal Adj</vt:lpstr>
      <vt:lpstr>Electricity</vt:lpstr>
      <vt:lpstr>Matrix</vt:lpstr>
      <vt:lpstr>Depreciation</vt:lpstr>
      <vt:lpstr>System Info. - PCWD</vt:lpstr>
      <vt:lpstr>Wholesale Factors - PCWD</vt:lpstr>
      <vt:lpstr>Rate Computation - PCWD</vt:lpstr>
      <vt:lpstr>Systm Info. - EPCWD</vt:lpstr>
      <vt:lpstr>Wholesal Factors - EPCWD</vt:lpstr>
      <vt:lpstr>Rate Compuration - EPCWD</vt:lpstr>
      <vt:lpstr>System Info.</vt:lpstr>
      <vt:lpstr>Wholesale Factors</vt:lpstr>
      <vt:lpstr>Rate Computation</vt:lpstr>
      <vt:lpstr>Matrix!Print_Area</vt:lpstr>
      <vt:lpstr>'Rate Computation - PCWD'!Print_Area</vt:lpstr>
      <vt:lpstr>'System Info. - PCWD'!Print_Area</vt:lpstr>
      <vt:lpstr>'Trial Balance'!Print_Area</vt:lpstr>
      <vt:lpstr>'Wholesale Factors - PCWD'!Print_Area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</dc:creator>
  <cp:lastModifiedBy>Mark Frost</cp:lastModifiedBy>
  <cp:lastPrinted>2026-04-11T00:06:39Z</cp:lastPrinted>
  <dcterms:created xsi:type="dcterms:W3CDTF">2016-05-18T14:12:06Z</dcterms:created>
  <dcterms:modified xsi:type="dcterms:W3CDTF">2026-05-13T23:57:27Z</dcterms:modified>
</cp:coreProperties>
</file>