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FS\x__Scanned Documents\2018\8-August\"/>
    </mc:Choice>
  </mc:AlternateContent>
  <bookViews>
    <workbookView xWindow="0" yWindow="0" windowWidth="28800" windowHeight="12435"/>
  </bookViews>
  <sheets>
    <sheet name="DLSA" sheetId="1" r:id="rId1"/>
    <sheet name="2018" sheetId="2" r:id="rId2"/>
    <sheet name="DSMRC Recoveries &amp; Sales" sheetId="3" r:id="rId3"/>
    <sheet name="DSMRC Costs" sheetId="4" r:id="rId4"/>
    <sheet name="DIA + DLSA Revenue" sheetId="5" r:id="rId5"/>
  </sheets>
  <definedNames>
    <definedName name="____W.O.R.K.B.O.O.K..C.O.N.T.E.N.T.S____" localSheetId="1">#REF!</definedName>
    <definedName name="____W.O.R.K.B.O.O.K..C.O.N.T.E.N.T.S____">#REF!</definedName>
    <definedName name="_xlnm.Print_Area" localSheetId="0">DLSA!$A$1:$G$77</definedName>
    <definedName name="_xlnm.Print_Area" localSheetId="3">'DSMRC Costs'!$A$1:$U$45</definedName>
    <definedName name="_xlnm.Print_Titles" localSheetId="1">'2018'!$1:$5</definedName>
    <definedName name="SAPCrosstab1" localSheetId="1">#REF!</definedName>
    <definedName name="SAPCrosstab1">#REF!</definedName>
    <definedName name="tbl_InterestRat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4" l="1"/>
  <c r="X4" i="4"/>
  <c r="Y4" i="4"/>
  <c r="Z4" i="4"/>
  <c r="AA4" i="4"/>
  <c r="W5" i="4"/>
  <c r="X5" i="4"/>
  <c r="Z5" i="4"/>
  <c r="AA5" i="4"/>
  <c r="W6" i="4"/>
  <c r="X6" i="4"/>
  <c r="Z6" i="4"/>
  <c r="AA6" i="4"/>
  <c r="W7" i="4"/>
  <c r="X7" i="4"/>
  <c r="Z7" i="4"/>
  <c r="AA7" i="4"/>
  <c r="W8" i="4"/>
  <c r="X8" i="4"/>
  <c r="Z8" i="4"/>
  <c r="AA8" i="4"/>
  <c r="W9" i="4"/>
  <c r="X9" i="4"/>
  <c r="Z9" i="4"/>
  <c r="AA9" i="4"/>
  <c r="W10" i="4"/>
  <c r="X10" i="4"/>
  <c r="Z10" i="4"/>
  <c r="AA10" i="4"/>
  <c r="W11" i="4"/>
  <c r="X11" i="4"/>
  <c r="Z11" i="4"/>
  <c r="AA11" i="4"/>
  <c r="W12" i="4"/>
  <c r="X12" i="4"/>
  <c r="Z12" i="4"/>
  <c r="AA12" i="4"/>
  <c r="W13" i="4"/>
  <c r="X13" i="4"/>
  <c r="Z13" i="4"/>
  <c r="AA13" i="4"/>
  <c r="W14" i="4"/>
  <c r="X14" i="4"/>
  <c r="Z14" i="4"/>
  <c r="AA14" i="4"/>
  <c r="W15" i="4"/>
  <c r="X15" i="4"/>
  <c r="Z15" i="4"/>
  <c r="AA15" i="4"/>
  <c r="V18" i="4"/>
  <c r="W18" i="4"/>
  <c r="X18" i="4"/>
  <c r="Z18" i="4" s="1"/>
  <c r="AA18" i="4"/>
  <c r="V19" i="4"/>
  <c r="W19" i="4"/>
  <c r="X19" i="4"/>
  <c r="Z19" i="4" s="1"/>
  <c r="AA19" i="4"/>
  <c r="V20" i="4"/>
  <c r="W20" i="4"/>
  <c r="X20" i="4"/>
  <c r="Z20" i="4" s="1"/>
  <c r="AA20" i="4"/>
  <c r="V21" i="4"/>
  <c r="W21" i="4"/>
  <c r="X21" i="4"/>
  <c r="Z21" i="4"/>
  <c r="AA21" i="4"/>
  <c r="V22" i="4"/>
  <c r="W22" i="4"/>
  <c r="X22" i="4"/>
  <c r="Z22" i="4" s="1"/>
  <c r="AA22" i="4"/>
  <c r="V23" i="4"/>
  <c r="W23" i="4"/>
  <c r="X23" i="4"/>
  <c r="Z23" i="4" s="1"/>
  <c r="AA23" i="4"/>
  <c r="V24" i="4"/>
  <c r="W24" i="4"/>
  <c r="X24" i="4"/>
  <c r="Z24" i="4" s="1"/>
  <c r="AA24" i="4"/>
  <c r="V25" i="4"/>
  <c r="W25" i="4"/>
  <c r="X25" i="4"/>
  <c r="Z25" i="4"/>
  <c r="AA25" i="4"/>
  <c r="V26" i="4"/>
  <c r="W26" i="4"/>
  <c r="AA26" i="4"/>
  <c r="V27" i="4"/>
  <c r="W27" i="4"/>
  <c r="AA27" i="4"/>
  <c r="V28" i="4"/>
  <c r="W28" i="4"/>
  <c r="AA28" i="4"/>
  <c r="V29" i="4"/>
  <c r="W29" i="4"/>
  <c r="AA29" i="4"/>
  <c r="V32" i="4"/>
  <c r="W32" i="4"/>
  <c r="X32" i="4"/>
  <c r="Z32" i="4" s="1"/>
  <c r="Y32" i="4"/>
  <c r="AA32" i="4"/>
  <c r="V33" i="4"/>
  <c r="W33" i="4"/>
  <c r="X33" i="4"/>
  <c r="Y33" i="4"/>
  <c r="Z33" i="4" s="1"/>
  <c r="AA33" i="4"/>
  <c r="V34" i="4"/>
  <c r="W34" i="4"/>
  <c r="X34" i="4"/>
  <c r="Y34" i="4"/>
  <c r="AA34" i="4"/>
  <c r="V35" i="4"/>
  <c r="W35" i="4"/>
  <c r="X35" i="4"/>
  <c r="Y35" i="4"/>
  <c r="Z35" i="4"/>
  <c r="AA35" i="4"/>
  <c r="V36" i="4"/>
  <c r="W36" i="4"/>
  <c r="X36" i="4"/>
  <c r="Z36" i="4" s="1"/>
  <c r="Y36" i="4"/>
  <c r="AA36" i="4"/>
  <c r="V37" i="4"/>
  <c r="W37" i="4"/>
  <c r="X37" i="4"/>
  <c r="Y37" i="4"/>
  <c r="Z37" i="4" s="1"/>
  <c r="AA37" i="4"/>
  <c r="V38" i="4"/>
  <c r="W38" i="4"/>
  <c r="X38" i="4"/>
  <c r="Y38" i="4"/>
  <c r="AA38" i="4"/>
  <c r="V39" i="4"/>
  <c r="W39" i="4"/>
  <c r="X39" i="4"/>
  <c r="Y39" i="4"/>
  <c r="Z39" i="4"/>
  <c r="AA39" i="4"/>
  <c r="V40" i="4"/>
  <c r="W40" i="4"/>
  <c r="X40" i="4"/>
  <c r="Z40" i="4" s="1"/>
  <c r="Y40" i="4"/>
  <c r="AA40" i="4"/>
  <c r="V41" i="4"/>
  <c r="W41" i="4"/>
  <c r="X41" i="4"/>
  <c r="Y41" i="4"/>
  <c r="Z41" i="4" s="1"/>
  <c r="AA41" i="4"/>
  <c r="V42" i="4"/>
  <c r="W42" i="4"/>
  <c r="X42" i="4"/>
  <c r="Y42" i="4"/>
  <c r="AA42" i="4"/>
  <c r="V43" i="4"/>
  <c r="W43" i="4"/>
  <c r="X43" i="4"/>
  <c r="Y43" i="4"/>
  <c r="Z43" i="4"/>
  <c r="AA43" i="4"/>
  <c r="Z42" i="4" l="1"/>
  <c r="Z38" i="4"/>
  <c r="Z34" i="4"/>
  <c r="F21" i="5"/>
  <c r="H20" i="5"/>
  <c r="H19" i="5"/>
  <c r="H18" i="5"/>
  <c r="H17" i="5"/>
  <c r="H16" i="5"/>
  <c r="H15" i="5"/>
  <c r="H14" i="5"/>
  <c r="C14" i="5"/>
  <c r="B14" i="5"/>
  <c r="H13" i="5"/>
  <c r="H21" i="5" s="1"/>
  <c r="F22" i="5" s="1"/>
  <c r="C6" i="5" s="1"/>
  <c r="C10" i="5"/>
  <c r="F8" i="5"/>
  <c r="H7" i="5"/>
  <c r="H6" i="5"/>
  <c r="H5" i="5"/>
  <c r="C5" i="5"/>
  <c r="B5" i="5"/>
  <c r="H4" i="5"/>
  <c r="B4" i="5"/>
  <c r="C4" i="5" s="1"/>
  <c r="H3" i="5"/>
  <c r="H8" i="5" s="1"/>
  <c r="F9" i="5" s="1"/>
  <c r="B6" i="5" s="1"/>
  <c r="C3" i="5"/>
  <c r="B3" i="5"/>
  <c r="C30" i="1"/>
  <c r="D59" i="2"/>
  <c r="C28" i="1"/>
  <c r="C26" i="1"/>
  <c r="D55" i="2"/>
  <c r="C24" i="1"/>
  <c r="D53" i="2"/>
  <c r="O29" i="4"/>
  <c r="N29" i="4"/>
  <c r="O28" i="4"/>
  <c r="N28" i="4"/>
  <c r="C20" i="1"/>
  <c r="E20" i="1" s="1"/>
  <c r="O27" i="4"/>
  <c r="N27" i="4"/>
  <c r="C19" i="1"/>
  <c r="E19" i="1" s="1"/>
  <c r="O26" i="4"/>
  <c r="N26" i="4"/>
  <c r="C20" i="3"/>
  <c r="D19" i="3"/>
  <c r="C19" i="3"/>
  <c r="G24" i="2" s="1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A20" i="3" s="1"/>
  <c r="E64" i="2"/>
  <c r="I61" i="2"/>
  <c r="G61" i="2"/>
  <c r="D61" i="2"/>
  <c r="C61" i="2"/>
  <c r="I60" i="2"/>
  <c r="H60" i="2"/>
  <c r="J60" i="2" s="1"/>
  <c r="G60" i="2"/>
  <c r="D60" i="2"/>
  <c r="C60" i="2"/>
  <c r="I59" i="2"/>
  <c r="G59" i="2"/>
  <c r="C59" i="2"/>
  <c r="H59" i="2" s="1"/>
  <c r="I58" i="2"/>
  <c r="G58" i="2"/>
  <c r="D58" i="2"/>
  <c r="C58" i="2"/>
  <c r="H58" i="2" s="1"/>
  <c r="J58" i="2" s="1"/>
  <c r="I57" i="2"/>
  <c r="G57" i="2"/>
  <c r="D57" i="2"/>
  <c r="C57" i="2"/>
  <c r="I56" i="2"/>
  <c r="G56" i="2"/>
  <c r="D56" i="2"/>
  <c r="C56" i="2"/>
  <c r="H56" i="2" s="1"/>
  <c r="J56" i="2" s="1"/>
  <c r="I55" i="2"/>
  <c r="G55" i="2"/>
  <c r="C55" i="2"/>
  <c r="G54" i="2"/>
  <c r="D54" i="2"/>
  <c r="C54" i="2"/>
  <c r="I53" i="2"/>
  <c r="G53" i="2"/>
  <c r="C53" i="2"/>
  <c r="I52" i="2"/>
  <c r="G52" i="2"/>
  <c r="D52" i="2"/>
  <c r="C52" i="2"/>
  <c r="I51" i="2"/>
  <c r="G51" i="2"/>
  <c r="D51" i="2"/>
  <c r="C51" i="2"/>
  <c r="G50" i="2"/>
  <c r="D50" i="2"/>
  <c r="C50" i="2"/>
  <c r="B50" i="2"/>
  <c r="I24" i="2"/>
  <c r="D24" i="2"/>
  <c r="C24" i="2"/>
  <c r="H24" i="2" s="1"/>
  <c r="J24" i="2" s="1"/>
  <c r="I23" i="2"/>
  <c r="G23" i="2"/>
  <c r="D23" i="2"/>
  <c r="C23" i="2"/>
  <c r="H23" i="2" s="1"/>
  <c r="J23" i="2" s="1"/>
  <c r="I22" i="2"/>
  <c r="G22" i="2"/>
  <c r="D22" i="2"/>
  <c r="C22" i="2"/>
  <c r="H22" i="2" s="1"/>
  <c r="J22" i="2" s="1"/>
  <c r="I21" i="2"/>
  <c r="G21" i="2"/>
  <c r="D21" i="2"/>
  <c r="C21" i="2"/>
  <c r="I20" i="2"/>
  <c r="G20" i="2"/>
  <c r="D20" i="2"/>
  <c r="C20" i="2"/>
  <c r="I19" i="2"/>
  <c r="G19" i="2"/>
  <c r="D19" i="2"/>
  <c r="C19" i="2"/>
  <c r="H19" i="2" s="1"/>
  <c r="J19" i="2" s="1"/>
  <c r="I18" i="2"/>
  <c r="G18" i="2"/>
  <c r="D18" i="2"/>
  <c r="C18" i="2"/>
  <c r="G17" i="2"/>
  <c r="D17" i="2"/>
  <c r="C17" i="2"/>
  <c r="I16" i="2"/>
  <c r="G16" i="2"/>
  <c r="C16" i="2"/>
  <c r="H16" i="2" s="1"/>
  <c r="J16" i="2" s="1"/>
  <c r="I15" i="2"/>
  <c r="G15" i="2"/>
  <c r="C15" i="2"/>
  <c r="I14" i="2"/>
  <c r="G14" i="2"/>
  <c r="C14" i="2"/>
  <c r="H14" i="2" s="1"/>
  <c r="J14" i="2" s="1"/>
  <c r="B14" i="2"/>
  <c r="B51" i="2" s="1"/>
  <c r="G13" i="2"/>
  <c r="G25" i="2" s="1"/>
  <c r="C13" i="2"/>
  <c r="C53" i="1"/>
  <c r="C52" i="1"/>
  <c r="C51" i="1"/>
  <c r="C50" i="1"/>
  <c r="C49" i="1"/>
  <c r="C48" i="1"/>
  <c r="D47" i="1"/>
  <c r="D48" i="1" s="1"/>
  <c r="D49" i="1" s="1"/>
  <c r="D50" i="1" s="1"/>
  <c r="D51" i="1" s="1"/>
  <c r="D52" i="1" s="1"/>
  <c r="D53" i="1" s="1"/>
  <c r="C47" i="1"/>
  <c r="C46" i="1"/>
  <c r="E46" i="1" s="1"/>
  <c r="C45" i="1"/>
  <c r="E45" i="1" s="1"/>
  <c r="C44" i="1"/>
  <c r="E44" i="1" s="1"/>
  <c r="C43" i="1"/>
  <c r="E43" i="1" s="1"/>
  <c r="C42" i="1"/>
  <c r="E42" i="1" s="1"/>
  <c r="B42" i="1"/>
  <c r="C29" i="1"/>
  <c r="C27" i="1"/>
  <c r="C25" i="1"/>
  <c r="D24" i="1"/>
  <c r="D25" i="1" s="1"/>
  <c r="D26" i="1" s="1"/>
  <c r="D27" i="1" s="1"/>
  <c r="D28" i="1" s="1"/>
  <c r="D29" i="1" s="1"/>
  <c r="D30" i="1" s="1"/>
  <c r="C23" i="1"/>
  <c r="E23" i="1" s="1"/>
  <c r="C22" i="1"/>
  <c r="E22" i="1" s="1"/>
  <c r="C21" i="1"/>
  <c r="E21" i="1" s="1"/>
  <c r="B20" i="1"/>
  <c r="B43" i="1" s="1"/>
  <c r="H51" i="2" l="1"/>
  <c r="J51" i="2" s="1"/>
  <c r="H53" i="2"/>
  <c r="J53" i="2" s="1"/>
  <c r="H55" i="2"/>
  <c r="E24" i="1"/>
  <c r="E47" i="1"/>
  <c r="H50" i="2"/>
  <c r="J50" i="2" s="1"/>
  <c r="H54" i="2"/>
  <c r="J54" i="2" s="1"/>
  <c r="E28" i="1"/>
  <c r="D62" i="2"/>
  <c r="X27" i="4"/>
  <c r="Y27" i="4"/>
  <c r="D14" i="2" s="1"/>
  <c r="Y26" i="4"/>
  <c r="D13" i="2" s="1"/>
  <c r="X26" i="4"/>
  <c r="Z26" i="4" s="1"/>
  <c r="X29" i="4"/>
  <c r="Z29" i="4" s="1"/>
  <c r="Y29" i="4"/>
  <c r="D16" i="2" s="1"/>
  <c r="Y28" i="4"/>
  <c r="D15" i="2" s="1"/>
  <c r="X28" i="4"/>
  <c r="E30" i="1"/>
  <c r="J59" i="2"/>
  <c r="H13" i="2"/>
  <c r="J13" i="2" s="1"/>
  <c r="H15" i="2"/>
  <c r="J15" i="2" s="1"/>
  <c r="G62" i="2"/>
  <c r="H17" i="2"/>
  <c r="J17" i="2" s="1"/>
  <c r="H18" i="2"/>
  <c r="J18" i="2" s="1"/>
  <c r="H20" i="2"/>
  <c r="J20" i="2" s="1"/>
  <c r="J55" i="2"/>
  <c r="E49" i="1"/>
  <c r="E51" i="1"/>
  <c r="E53" i="1"/>
  <c r="F30" i="2"/>
  <c r="F34" i="2" s="1"/>
  <c r="E33" i="1"/>
  <c r="E25" i="1"/>
  <c r="E27" i="1"/>
  <c r="C25" i="2"/>
  <c r="B7" i="5"/>
  <c r="B8" i="5" s="1"/>
  <c r="B9" i="5" s="1"/>
  <c r="B12" i="5" s="1"/>
  <c r="H21" i="2"/>
  <c r="J21" i="2" s="1"/>
  <c r="B21" i="1"/>
  <c r="E26" i="1"/>
  <c r="E29" i="1"/>
  <c r="E48" i="1"/>
  <c r="E50" i="1"/>
  <c r="E52" i="1"/>
  <c r="C62" i="2"/>
  <c r="H52" i="2"/>
  <c r="J52" i="2" s="1"/>
  <c r="C7" i="5"/>
  <c r="C8" i="5" s="1"/>
  <c r="C9" i="5" s="1"/>
  <c r="C12" i="5" s="1"/>
  <c r="H57" i="2"/>
  <c r="J57" i="2" s="1"/>
  <c r="H61" i="2"/>
  <c r="J61" i="2" s="1"/>
  <c r="B15" i="2"/>
  <c r="E54" i="1" l="1"/>
  <c r="E31" i="1"/>
  <c r="E35" i="1" s="1"/>
  <c r="F36" i="2" s="1"/>
  <c r="Z28" i="4"/>
  <c r="D25" i="2"/>
  <c r="Z27" i="4"/>
  <c r="F67" i="2"/>
  <c r="F71" i="2" s="1"/>
  <c r="E56" i="1"/>
  <c r="E58" i="1" s="1"/>
  <c r="F73" i="2" s="1"/>
  <c r="B22" i="1"/>
  <c r="B44" i="1"/>
  <c r="F38" i="2"/>
  <c r="E25" i="2"/>
  <c r="E62" i="2"/>
  <c r="B52" i="2"/>
  <c r="B16" i="2"/>
  <c r="F75" i="2" l="1"/>
  <c r="B53" i="2"/>
  <c r="B17" i="2"/>
  <c r="E22" i="2"/>
  <c r="F22" i="2" s="1"/>
  <c r="E21" i="2"/>
  <c r="F21" i="2" s="1"/>
  <c r="E16" i="2"/>
  <c r="F16" i="2" s="1"/>
  <c r="E24" i="2"/>
  <c r="F24" i="2" s="1"/>
  <c r="E20" i="2"/>
  <c r="F20" i="2" s="1"/>
  <c r="E15" i="2"/>
  <c r="F15" i="2" s="1"/>
  <c r="E19" i="2"/>
  <c r="F19" i="2" s="1"/>
  <c r="E14" i="2"/>
  <c r="F14" i="2" s="1"/>
  <c r="E18" i="2"/>
  <c r="F18" i="2" s="1"/>
  <c r="E13" i="2"/>
  <c r="F13" i="2" s="1"/>
  <c r="E23" i="2"/>
  <c r="F23" i="2" s="1"/>
  <c r="E17" i="2"/>
  <c r="F17" i="2" s="1"/>
  <c r="E58" i="2"/>
  <c r="F58" i="2" s="1"/>
  <c r="E53" i="2"/>
  <c r="F53" i="2" s="1"/>
  <c r="E61" i="2"/>
  <c r="F61" i="2" s="1"/>
  <c r="E57" i="2"/>
  <c r="F57" i="2" s="1"/>
  <c r="E52" i="2"/>
  <c r="F52" i="2" s="1"/>
  <c r="E54" i="2"/>
  <c r="F54" i="2" s="1"/>
  <c r="E60" i="2"/>
  <c r="F60" i="2" s="1"/>
  <c r="E56" i="2"/>
  <c r="F56" i="2" s="1"/>
  <c r="E51" i="2"/>
  <c r="F51" i="2" s="1"/>
  <c r="E50" i="2"/>
  <c r="F50" i="2" s="1"/>
  <c r="E59" i="2"/>
  <c r="F59" i="2" s="1"/>
  <c r="E55" i="2"/>
  <c r="F55" i="2" s="1"/>
  <c r="B23" i="1"/>
  <c r="B45" i="1"/>
  <c r="F62" i="2" l="1"/>
  <c r="F25" i="2"/>
  <c r="F27" i="2" s="1"/>
  <c r="F28" i="2" s="1"/>
  <c r="F32" i="2" s="1"/>
  <c r="F40" i="2" s="1"/>
  <c r="B46" i="1"/>
  <c r="B24" i="1"/>
  <c r="B54" i="2"/>
  <c r="B18" i="2"/>
  <c r="F64" i="2"/>
  <c r="F65" i="2" s="1"/>
  <c r="F69" i="2" s="1"/>
  <c r="F77" i="2" s="1"/>
  <c r="B55" i="2" l="1"/>
  <c r="B19" i="2"/>
  <c r="B47" i="1"/>
  <c r="B25" i="1"/>
  <c r="B48" i="1" l="1"/>
  <c r="B26" i="1"/>
  <c r="B56" i="2"/>
  <c r="B20" i="2"/>
  <c r="B57" i="2" l="1"/>
  <c r="B21" i="2"/>
  <c r="B49" i="1"/>
  <c r="B27" i="1"/>
  <c r="B58" i="2" l="1"/>
  <c r="B22" i="2"/>
  <c r="B50" i="1"/>
  <c r="B28" i="1"/>
  <c r="B51" i="1" l="1"/>
  <c r="B29" i="1"/>
  <c r="B59" i="2"/>
  <c r="B23" i="2"/>
  <c r="B60" i="2" l="1"/>
  <c r="B24" i="2"/>
  <c r="B52" i="1"/>
  <c r="B30" i="1"/>
  <c r="B53" i="1" s="1"/>
  <c r="B61" i="2" l="1"/>
  <c r="A27" i="2"/>
  <c r="A64" i="2" s="1"/>
</calcChain>
</file>

<file path=xl/comments1.xml><?xml version="1.0" encoding="utf-8"?>
<comments xmlns="http://schemas.openxmlformats.org/spreadsheetml/2006/main">
  <authors>
    <author>Matheny, Leonard R.</author>
    <author>Mark  Martin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Application, Schedule C tab.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Matheny, Leonard R.:</t>
        </r>
        <r>
          <rPr>
            <sz val="9"/>
            <color indexed="81"/>
            <rFont val="Tahoma"/>
            <family val="2"/>
          </rPr>
          <t xml:space="preserve">
Atmos Cares Report "Total" Tab.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 Atmos Variable Data tab, Cell G53.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2017 DSM Application, Billing Factor 2015 tab.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Mark Martin:</t>
        </r>
        <r>
          <rPr>
            <sz val="9"/>
            <color indexed="81"/>
            <rFont val="Tahoma"/>
            <family val="2"/>
          </rPr>
          <t xml:space="preserve">
Data taken from 2014 DSM Application Schedule A tab.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and multiply by margin.  Either add Columns C &amp; G or subtract Columns N &amp; R. 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Mark  Martin:</t>
        </r>
        <r>
          <rPr>
            <sz val="9"/>
            <color indexed="81"/>
            <rFont val="Tahoma"/>
            <family val="2"/>
          </rPr>
          <t xml:space="preserve">
Add up CCF savings from Atmos Cares report in column R and multiply by margin.  </t>
        </r>
      </text>
    </comment>
  </commentList>
</comments>
</file>

<file path=xl/sharedStrings.xml><?xml version="1.0" encoding="utf-8"?>
<sst xmlns="http://schemas.openxmlformats.org/spreadsheetml/2006/main" count="295" uniqueCount="178">
  <si>
    <t>Atmos Energy Corporation</t>
  </si>
  <si>
    <t>Kentucky/Mid-States Division</t>
  </si>
  <si>
    <t>Demand Side Management</t>
  </si>
  <si>
    <t>Lost Sales Adjustment (DLSA) Calculation</t>
  </si>
  <si>
    <t>To Be Effective January 1, 2019</t>
  </si>
  <si>
    <t>Overview</t>
  </si>
  <si>
    <t>To effectively promote and execute the program, the Company shall recover the annual lost sales attributable</t>
  </si>
  <si>
    <t xml:space="preserve">to customer conservation/efficiency created as a result of the Program. This aligns the Company’s interest </t>
  </si>
  <si>
    <t xml:space="preserve">with that of its customers by reducing the correlation between volume and revenue for those customers who </t>
  </si>
  <si>
    <t xml:space="preserve">elect to participate in the program. The lost sales are the estimated conservation, per participant, times the </t>
  </si>
  <si>
    <t>base rate for the applicable customer. The goal is to make the Company whole for promoting the program.</t>
  </si>
  <si>
    <t>Lost sales are based on the cumulative lost sales since the program inception and will reset when the Company</t>
  </si>
  <si>
    <t>completes a general rate case.</t>
  </si>
  <si>
    <t>G-1 Residential</t>
  </si>
  <si>
    <t>Line</t>
  </si>
  <si>
    <t>Month</t>
  </si>
  <si>
    <t>Ccf Savings</t>
  </si>
  <si>
    <t>Distribution Charge</t>
  </si>
  <si>
    <t>Lost Sales</t>
  </si>
  <si>
    <t>(a)</t>
  </si>
  <si>
    <t>(b)</t>
  </si>
  <si>
    <t>(c)</t>
  </si>
  <si>
    <t>(d)</t>
  </si>
  <si>
    <t xml:space="preserve">Total </t>
  </si>
  <si>
    <t xml:space="preserve">Annual Expected Residential Sales (Mcf) </t>
  </si>
  <si>
    <t>DLSA (per Mcf)</t>
  </si>
  <si>
    <t>G-1 Commercial</t>
  </si>
  <si>
    <t xml:space="preserve">Annual Expected Commercial Sales (Mcf) </t>
  </si>
  <si>
    <t>ATMOS ENERGY CORPORATION</t>
  </si>
  <si>
    <t>DSM Balancing Adjustment</t>
  </si>
  <si>
    <t>DSMRC = DCRC + DLSA + DIA + DBA</t>
  </si>
  <si>
    <t>G-1 Residental</t>
  </si>
  <si>
    <t>(e)</t>
  </si>
  <si>
    <t>(f)</t>
  </si>
  <si>
    <t>(g)</t>
  </si>
  <si>
    <t>(h)</t>
  </si>
  <si>
    <t>Under/(Over)</t>
  </si>
  <si>
    <t>DSMRC</t>
  </si>
  <si>
    <t>DIA + DLSA</t>
  </si>
  <si>
    <t>Residential</t>
  </si>
  <si>
    <t>Billed</t>
  </si>
  <si>
    <t>Filed</t>
  </si>
  <si>
    <t>Rate</t>
  </si>
  <si>
    <t>Recoveries</t>
  </si>
  <si>
    <t>Costs</t>
  </si>
  <si>
    <t>Revenue</t>
  </si>
  <si>
    <t>Balance</t>
  </si>
  <si>
    <t>Sales</t>
  </si>
  <si>
    <t>Difference</t>
  </si>
  <si>
    <t>Previous DBA Balancing Adjustment</t>
  </si>
  <si>
    <t>(Mcf)</t>
  </si>
  <si>
    <t>Total Residential DSMRC Balance</t>
  </si>
  <si>
    <t>DBA = DSM Balancing Adjustment</t>
  </si>
  <si>
    <t>DCRC = DSM Cost Recovery - Current</t>
  </si>
  <si>
    <t>DLSA = DSM Lost Sales Adjustment</t>
  </si>
  <si>
    <t>DIA = DSM Incentive Adjustment</t>
  </si>
  <si>
    <t>DSMRC Residential Rate G-1</t>
  </si>
  <si>
    <t>Commercial</t>
  </si>
  <si>
    <t>Total Commercial DSMRC Balance</t>
  </si>
  <si>
    <t>DSMRC Commercial Rate G-1</t>
  </si>
  <si>
    <t>Price Key</t>
  </si>
  <si>
    <t>KYCM_DCDS</t>
  </si>
  <si>
    <t>KYRS_DCDS</t>
  </si>
  <si>
    <t>Overall Result</t>
  </si>
  <si>
    <t>Com</t>
  </si>
  <si>
    <t>Res</t>
  </si>
  <si>
    <t/>
  </si>
  <si>
    <t>Quantity</t>
  </si>
  <si>
    <t>Amount</t>
  </si>
  <si>
    <t>MCF</t>
  </si>
  <si>
    <t>Calendar Year/Month</t>
  </si>
  <si>
    <t>CCF</t>
  </si>
  <si>
    <t>$</t>
  </si>
  <si>
    <t>09/2017</t>
  </si>
  <si>
    <t>10/2017</t>
  </si>
  <si>
    <t>11/2017</t>
  </si>
  <si>
    <t>12/2017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</si>
  <si>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</si>
  <si>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</si>
  <si>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</si>
  <si>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</si>
  <si>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</si>
  <si>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</si>
  <si>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</si>
  <si>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</si>
  <si>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ATMOS CARES ANNUAL TOTALS</t>
  </si>
  <si>
    <t>Weatherization</t>
  </si>
  <si>
    <t>Residential Rebates</t>
  </si>
  <si>
    <t>Education</t>
  </si>
  <si>
    <t>Monthly Totals</t>
  </si>
  <si>
    <t>Commercial Rebates</t>
  </si>
  <si>
    <t>Payment Month</t>
  </si>
  <si>
    <t>Expenses</t>
  </si>
  <si>
    <t>Houses</t>
  </si>
  <si>
    <t>Rebate Expenses</t>
  </si>
  <si>
    <t>Rebates Issued</t>
  </si>
  <si>
    <t>Promo &amp; Misc.</t>
  </si>
  <si>
    <t>Qtly. Fees</t>
  </si>
  <si>
    <t>Presentations</t>
  </si>
  <si>
    <t># of Students</t>
  </si>
  <si>
    <t>Expenditures</t>
  </si>
  <si>
    <t>Residential Ccf</t>
  </si>
  <si>
    <t>Commercial Ccf</t>
  </si>
  <si>
    <t>Residential Expenditures - Education Expense - Commerical Expenditures</t>
  </si>
  <si>
    <t>Residential Expenditures - Commerical Expenditures</t>
  </si>
  <si>
    <t>Commerical Expenditures</t>
  </si>
  <si>
    <t>2016 Totals</t>
  </si>
  <si>
    <t>Cum. Totals</t>
  </si>
  <si>
    <t>2017 Totals</t>
  </si>
  <si>
    <t>2018 Totals</t>
  </si>
  <si>
    <t>Promotional expenses and EFI quarterly management fees are split 90.1% for residential rebates &amp; 9.9% for commercial rebates based on the prior year's customer count. (Based on FY 2015, average customers of 174,885 of which 157,528 are residential/pa and 17,357 are commercial.)</t>
  </si>
  <si>
    <t>Average Weatherization Assistance Since Program Inception</t>
  </si>
  <si>
    <t>Year</t>
  </si>
  <si>
    <t>Total Funds</t>
  </si>
  <si>
    <t>Total HHs</t>
  </si>
  <si>
    <t>Per HH Average</t>
  </si>
  <si>
    <t>res</t>
  </si>
  <si>
    <t>pa</t>
  </si>
  <si>
    <t>comm</t>
  </si>
  <si>
    <t>fy13</t>
  </si>
  <si>
    <t>fy14</t>
  </si>
  <si>
    <t>com</t>
  </si>
  <si>
    <t>total</t>
  </si>
  <si>
    <t>res &amp; pa</t>
  </si>
  <si>
    <t>% to total</t>
  </si>
  <si>
    <t>fy15</t>
  </si>
  <si>
    <t>Totals</t>
  </si>
  <si>
    <t>total (9/13-12/13)</t>
  </si>
  <si>
    <t>total (9/14-12/14)</t>
  </si>
  <si>
    <t>total (9/15-12/15)</t>
  </si>
  <si>
    <t>total (1/14-8/14)</t>
  </si>
  <si>
    <t>total (1/15-8/15)</t>
  </si>
  <si>
    <t>total (1/16-8/16)</t>
  </si>
  <si>
    <t>comm (9/13-12/13)</t>
  </si>
  <si>
    <t>comm (9/14-12/14)</t>
  </si>
  <si>
    <t>comm (9/15-12/15)</t>
  </si>
  <si>
    <t>comm (1/14-8/14)</t>
  </si>
  <si>
    <t>comm (1/15-8/15)</t>
  </si>
  <si>
    <t>comm (1/16-8/16)</t>
  </si>
  <si>
    <t>res (9/13-12/13)</t>
  </si>
  <si>
    <t>res (9/14-12/14)</t>
  </si>
  <si>
    <t>res (9/15-12/15)</t>
  </si>
  <si>
    <t>res (1/14-8/14)</t>
  </si>
  <si>
    <t>res (1/15-8/15)</t>
  </si>
  <si>
    <t>res (1/16-8/16)</t>
  </si>
  <si>
    <t>DSM Incentive Adjustment 9/1/2017 - 8/31/2018</t>
  </si>
  <si>
    <t>Residential Measure Life Weighted Average</t>
  </si>
  <si>
    <t>Factors</t>
  </si>
  <si>
    <t>Measure</t>
  </si>
  <si>
    <t># of Units</t>
  </si>
  <si>
    <t>Years</t>
  </si>
  <si>
    <t>Total</t>
  </si>
  <si>
    <t>Program Costs</t>
  </si>
  <si>
    <t>Furnaces</t>
  </si>
  <si>
    <t>Ccf Rate</t>
  </si>
  <si>
    <t>Thermostats</t>
  </si>
  <si>
    <t>Ccf Saved</t>
  </si>
  <si>
    <t>Tank Water Heaters</t>
  </si>
  <si>
    <t>Measure Life</t>
  </si>
  <si>
    <t>Tankless Water Heaters</t>
  </si>
  <si>
    <t>Commodity Savings</t>
  </si>
  <si>
    <t>Present Value CS</t>
  </si>
  <si>
    <t>Program Benefit</t>
  </si>
  <si>
    <t>Weighted Average</t>
  </si>
  <si>
    <t>Discount Rate</t>
  </si>
  <si>
    <t>Incentive</t>
  </si>
  <si>
    <t>Commercial Measure Life Weighted Average</t>
  </si>
  <si>
    <t>Annual DSM Incentive Adjustment</t>
  </si>
  <si>
    <t>Cumulative DSM Incentive Adjustment</t>
  </si>
  <si>
    <t>DSM Lost Sales Adjustment</t>
  </si>
  <si>
    <t>Commercial Fryer</t>
  </si>
  <si>
    <t>Commercial Griddle</t>
  </si>
  <si>
    <t>Cell B3 = Atmos Cares Report tab "Total" Column N Sep17-Aug18</t>
  </si>
  <si>
    <t>Commercial Oven</t>
  </si>
  <si>
    <t>Cell C3 = Atmos Cares Report "Total" tab Column U Sep17-Aug18</t>
  </si>
  <si>
    <t>Commercial Steamer</t>
  </si>
  <si>
    <t>Cell B5 = Atmos Cares Report tab "Total" Column O Sep17-Aug18</t>
  </si>
  <si>
    <t>Cell C5 = Atmos Cares Report "Total" tab Column R Sep17-Aug18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</si>
</sst>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[$-409]mmm\-yy;@"/>
    <numFmt numFmtId="166" formatCode="&quot;$&quot;#,##0.0000_);\(&quot;$&quot;#,##0.0000\)"/>
    <numFmt numFmtId="167" formatCode="_(&quot;$&quot;* #,##0.0000_);_(&quot;$&quot;* \(#,##0.0000\);_(&quot;$&quot;* &quot;-&quot;??_);_(@_)"/>
    <numFmt numFmtId="168" formatCode="_(* #,##0_);_(* \(#,##0\);_(* &quot;-&quot;??_);_(@_)"/>
    <numFmt numFmtId="169" formatCode="0.0000%"/>
    <numFmt numFmtId="170" formatCode="#,##0.0000_);[Red]\(#,##0.0000\)"/>
    <numFmt numFmtId="171" formatCode="_(* #,##0.0000_);_(* \(#,##0.0000\);_(* &quot;-&quot;??_);_(@_)"/>
    <numFmt numFmtId="172" formatCode="###,000"/>
    <numFmt numFmtId="173" formatCode="#,##0.00;\-#,##0.00;#,##0.00"/>
    <numFmt numFmtId="174" formatCode="#,##0;\-#,##0;#,##0"/>
    <numFmt numFmtId="175" formatCode="&quot;$&quot;#,##0.00"/>
    <numFmt numFmtId="176" formatCode="0.0%"/>
    <numFmt numFmtId="177" formatCode="_(&quot;$&quot;* #,##0.000_);_(&quot;$&quot;* \(#,##0.000\);_(&quot;$&quot;* &quot;-&quot;???_);_(@_)"/>
    <numFmt numFmtId="178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0" applyNumberFormat="0" applyBorder="0" applyAlignment="0" applyProtection="0"/>
    <xf numFmtId="172" fontId="16" fillId="0" borderId="5" applyNumberFormat="0" applyAlignment="0" applyProtection="0">
      <alignment horizontal="right" vertical="center" indent="1"/>
    </xf>
    <xf numFmtId="0" fontId="1" fillId="0" borderId="0"/>
    <xf numFmtId="0" fontId="17" fillId="3" borderId="6" applyNumberFormat="0" applyAlignment="0" applyProtection="0">
      <alignment horizontal="left" vertical="center" indent="1"/>
    </xf>
    <xf numFmtId="172" fontId="18" fillId="4" borderId="6" applyNumberFormat="0" applyAlignment="0" applyProtection="0">
      <alignment horizontal="left" vertical="center" indent="1"/>
    </xf>
    <xf numFmtId="0" fontId="17" fillId="3" borderId="7" applyNumberFormat="0" applyAlignmen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172" fontId="18" fillId="0" borderId="14" applyNumberFormat="0" applyProtection="0">
      <alignment horizontal="right" vertical="center"/>
    </xf>
    <xf numFmtId="172" fontId="17" fillId="0" borderId="7" applyNumberFormat="0" applyProtection="0">
      <alignment horizontal="right" vertical="center"/>
    </xf>
    <xf numFmtId="0" fontId="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/>
  </cellStyleXfs>
  <cellXfs count="232">
    <xf numFmtId="0" fontId="0" fillId="0" borderId="0" xfId="0"/>
    <xf numFmtId="0" fontId="4" fillId="0" borderId="0" xfId="0" applyFont="1"/>
    <xf numFmtId="17" fontId="5" fillId="0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" fontId="8" fillId="0" borderId="0" xfId="0" applyNumberFormat="1" applyFont="1" applyFill="1"/>
    <xf numFmtId="4" fontId="9" fillId="0" borderId="0" xfId="4" applyNumberFormat="1" applyFont="1" applyFill="1" applyBorder="1"/>
    <xf numFmtId="164" fontId="10" fillId="0" borderId="0" xfId="4" applyNumberFormat="1" applyFont="1" applyFill="1"/>
    <xf numFmtId="39" fontId="0" fillId="0" borderId="0" xfId="0" applyNumberFormat="1" applyFill="1" applyBorder="1"/>
    <xf numFmtId="37" fontId="0" fillId="0" borderId="0" xfId="0" applyNumberFormat="1"/>
    <xf numFmtId="165" fontId="0" fillId="0" borderId="0" xfId="0" applyNumberFormat="1" applyFill="1"/>
    <xf numFmtId="0" fontId="0" fillId="0" borderId="0" xfId="0" applyAlignment="1">
      <alignment horizontal="right"/>
    </xf>
    <xf numFmtId="7" fontId="0" fillId="0" borderId="1" xfId="0" applyNumberFormat="1" applyBorder="1"/>
    <xf numFmtId="166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7" fontId="0" fillId="0" borderId="1" xfId="0" applyNumberFormat="1" applyFill="1" applyBorder="1"/>
    <xf numFmtId="38" fontId="0" fillId="0" borderId="0" xfId="0" applyNumberFormat="1" applyFill="1"/>
    <xf numFmtId="167" fontId="0" fillId="0" borderId="0" xfId="2" applyNumberFormat="1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38" fontId="0" fillId="0" borderId="0" xfId="0" applyNumberFormat="1" applyFill="1" applyAlignment="1">
      <alignment horizontal="center"/>
    </xf>
    <xf numFmtId="167" fontId="0" fillId="0" borderId="0" xfId="2" applyNumberFormat="1" applyFont="1" applyFill="1" applyAlignment="1">
      <alignment horizontal="center"/>
    </xf>
    <xf numFmtId="167" fontId="7" fillId="0" borderId="0" xfId="2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167" fontId="13" fillId="0" borderId="0" xfId="2" applyNumberFormat="1" applyFont="1" applyFill="1" applyAlignment="1">
      <alignment horizontal="center"/>
    </xf>
    <xf numFmtId="7" fontId="7" fillId="0" borderId="0" xfId="0" applyNumberFormat="1" applyFont="1" applyFill="1" applyAlignment="1">
      <alignment horizontal="center"/>
    </xf>
    <xf numFmtId="44" fontId="7" fillId="0" borderId="0" xfId="0" applyNumberFormat="1" applyFont="1" applyFill="1" applyAlignment="1">
      <alignment horizontal="center"/>
    </xf>
    <xf numFmtId="7" fontId="7" fillId="0" borderId="0" xfId="2" applyNumberFormat="1" applyFont="1" applyFill="1"/>
    <xf numFmtId="44" fontId="9" fillId="0" borderId="0" xfId="4" applyNumberFormat="1" applyFont="1" applyFill="1"/>
    <xf numFmtId="7" fontId="7" fillId="0" borderId="0" xfId="2" applyNumberFormat="1" applyFill="1"/>
    <xf numFmtId="37" fontId="7" fillId="0" borderId="0" xfId="0" applyNumberFormat="1" applyFont="1" applyFill="1"/>
    <xf numFmtId="167" fontId="9" fillId="0" borderId="0" xfId="4" applyNumberFormat="1" applyFont="1" applyFill="1"/>
    <xf numFmtId="167" fontId="10" fillId="0" borderId="0" xfId="4" applyNumberFormat="1" applyFont="1" applyFill="1"/>
    <xf numFmtId="43" fontId="7" fillId="0" borderId="0" xfId="1" applyFont="1" applyFill="1"/>
    <xf numFmtId="43" fontId="7" fillId="0" borderId="0" xfId="1" applyFill="1"/>
    <xf numFmtId="44" fontId="0" fillId="0" borderId="0" xfId="0" applyNumberFormat="1" applyFill="1"/>
    <xf numFmtId="17" fontId="7" fillId="0" borderId="0" xfId="0" applyNumberFormat="1" applyFont="1" applyFill="1"/>
    <xf numFmtId="7" fontId="7" fillId="0" borderId="0" xfId="1" applyNumberFormat="1" applyFill="1"/>
    <xf numFmtId="7" fontId="7" fillId="0" borderId="2" xfId="2" applyNumberFormat="1" applyFill="1" applyBorder="1"/>
    <xf numFmtId="44" fontId="9" fillId="0" borderId="2" xfId="4" applyNumberFormat="1" applyFont="1" applyFill="1" applyBorder="1"/>
    <xf numFmtId="44" fontId="7" fillId="0" borderId="2" xfId="2" applyNumberFormat="1" applyFont="1" applyFill="1" applyBorder="1"/>
    <xf numFmtId="37" fontId="0" fillId="0" borderId="2" xfId="0" applyNumberFormat="1" applyFill="1" applyBorder="1"/>
    <xf numFmtId="168" fontId="0" fillId="0" borderId="0" xfId="1" applyNumberFormat="1" applyFont="1" applyFill="1"/>
    <xf numFmtId="0" fontId="7" fillId="0" borderId="0" xfId="0" quotePrefix="1" applyFont="1" applyFill="1"/>
    <xf numFmtId="0" fontId="7" fillId="0" borderId="0" xfId="0" applyFont="1" applyFill="1"/>
    <xf numFmtId="169" fontId="14" fillId="0" borderId="0" xfId="0" applyNumberFormat="1" applyFont="1" applyFill="1"/>
    <xf numFmtId="44" fontId="7" fillId="0" borderId="3" xfId="2" applyFont="1" applyFill="1" applyBorder="1"/>
    <xf numFmtId="38" fontId="8" fillId="0" borderId="0" xfId="0" applyNumberFormat="1" applyFont="1" applyFill="1"/>
    <xf numFmtId="7" fontId="7" fillId="0" borderId="0" xfId="2" applyNumberFormat="1" applyFill="1" applyBorder="1"/>
    <xf numFmtId="40" fontId="0" fillId="0" borderId="0" xfId="0" applyNumberFormat="1" applyFill="1"/>
    <xf numFmtId="168" fontId="7" fillId="0" borderId="0" xfId="1" applyNumberFormat="1" applyFill="1"/>
    <xf numFmtId="164" fontId="0" fillId="0" borderId="0" xfId="0" applyNumberFormat="1" applyFill="1"/>
    <xf numFmtId="170" fontId="0" fillId="0" borderId="0" xfId="0" applyNumberFormat="1" applyFill="1"/>
    <xf numFmtId="9" fontId="0" fillId="0" borderId="0" xfId="3" applyFont="1" applyFill="1"/>
    <xf numFmtId="7" fontId="0" fillId="0" borderId="0" xfId="0" applyNumberFormat="1" applyFill="1"/>
    <xf numFmtId="0" fontId="0" fillId="0" borderId="0" xfId="0" applyFill="1" applyAlignment="1">
      <alignment horizontal="left" indent="1"/>
    </xf>
    <xf numFmtId="164" fontId="0" fillId="0" borderId="4" xfId="0" applyNumberFormat="1" applyFill="1" applyBorder="1"/>
    <xf numFmtId="171" fontId="0" fillId="0" borderId="0" xfId="1" applyNumberFormat="1" applyFont="1" applyFill="1"/>
    <xf numFmtId="0" fontId="15" fillId="0" borderId="0" xfId="0" applyFont="1" applyFill="1"/>
    <xf numFmtId="38" fontId="7" fillId="0" borderId="0" xfId="0" applyNumberFormat="1" applyFont="1" applyFill="1" applyAlignment="1">
      <alignment horizontal="center"/>
    </xf>
    <xf numFmtId="7" fontId="7" fillId="0" borderId="0" xfId="1" applyNumberFormat="1" applyFont="1" applyFill="1"/>
    <xf numFmtId="0" fontId="7" fillId="0" borderId="0" xfId="1" applyNumberFormat="1" applyFill="1"/>
    <xf numFmtId="173" fontId="16" fillId="0" borderId="0" xfId="5" applyNumberFormat="1" applyFill="1" applyBorder="1" applyAlignment="1"/>
    <xf numFmtId="7" fontId="9" fillId="0" borderId="2" xfId="4" applyNumberFormat="1" applyFont="1" applyFill="1" applyBorder="1"/>
    <xf numFmtId="169" fontId="7" fillId="0" borderId="0" xfId="0" applyNumberFormat="1" applyFont="1" applyFill="1"/>
    <xf numFmtId="0" fontId="1" fillId="0" borderId="0" xfId="6"/>
    <xf numFmtId="0" fontId="17" fillId="3" borderId="6" xfId="7" quotePrefix="1" applyNumberFormat="1" applyBorder="1" applyAlignment="1"/>
    <xf numFmtId="0" fontId="18" fillId="4" borderId="6" xfId="8" quotePrefix="1" applyNumberFormat="1" applyBorder="1" applyAlignment="1"/>
    <xf numFmtId="0" fontId="18" fillId="4" borderId="6" xfId="8" applyNumberFormat="1" applyBorder="1" applyAlignment="1"/>
    <xf numFmtId="0" fontId="17" fillId="3" borderId="8" xfId="9" quotePrefix="1" applyNumberFormat="1" applyBorder="1" applyAlignment="1"/>
    <xf numFmtId="0" fontId="17" fillId="3" borderId="9" xfId="9" applyNumberFormat="1" applyBorder="1" applyAlignment="1"/>
    <xf numFmtId="0" fontId="18" fillId="4" borderId="6" xfId="8" quotePrefix="1" applyNumberFormat="1" applyAlignment="1"/>
    <xf numFmtId="0" fontId="17" fillId="3" borderId="7" xfId="9" quotePrefix="1" applyNumberFormat="1" applyAlignment="1"/>
    <xf numFmtId="0" fontId="17" fillId="3" borderId="11" xfId="9" quotePrefix="1" applyNumberFormat="1" applyBorder="1" applyAlignment="1"/>
    <xf numFmtId="0" fontId="1" fillId="0" borderId="0" xfId="10" applyAlignment="1">
      <alignment horizontal="center"/>
    </xf>
    <xf numFmtId="0" fontId="18" fillId="4" borderId="6" xfId="8" quotePrefix="1" applyNumberFormat="1" applyBorder="1" applyAlignment="1">
      <alignment horizontal="right"/>
    </xf>
    <xf numFmtId="0" fontId="17" fillId="3" borderId="12" xfId="9" quotePrefix="1" applyNumberFormat="1" applyBorder="1" applyAlignment="1">
      <alignment horizontal="right"/>
    </xf>
    <xf numFmtId="0" fontId="17" fillId="3" borderId="13" xfId="9" quotePrefix="1" applyNumberFormat="1" applyBorder="1" applyAlignment="1">
      <alignment horizontal="right"/>
    </xf>
    <xf numFmtId="43" fontId="1" fillId="0" borderId="0" xfId="11" applyFont="1"/>
    <xf numFmtId="171" fontId="1" fillId="0" borderId="0" xfId="1" applyNumberFormat="1" applyFont="1"/>
    <xf numFmtId="43" fontId="1" fillId="0" borderId="0" xfId="1" applyFont="1"/>
    <xf numFmtId="174" fontId="18" fillId="0" borderId="14" xfId="12" applyNumberFormat="1">
      <alignment horizontal="right" vertical="center"/>
    </xf>
    <xf numFmtId="173" fontId="18" fillId="0" borderId="14" xfId="12" applyNumberFormat="1">
      <alignment horizontal="right" vertical="center"/>
    </xf>
    <xf numFmtId="174" fontId="17" fillId="0" borderId="7" xfId="13" applyNumberFormat="1">
      <alignment horizontal="right" vertical="center"/>
    </xf>
    <xf numFmtId="173" fontId="17" fillId="0" borderId="11" xfId="13" applyNumberFormat="1" applyBorder="1">
      <alignment horizontal="right" vertical="center"/>
    </xf>
    <xf numFmtId="171" fontId="1" fillId="0" borderId="0" xfId="11" applyNumberFormat="1" applyFont="1"/>
    <xf numFmtId="0" fontId="17" fillId="3" borderId="15" xfId="9" quotePrefix="1" applyNumberFormat="1" applyBorder="1" applyAlignment="1"/>
    <xf numFmtId="174" fontId="17" fillId="0" borderId="12" xfId="13" applyNumberFormat="1" applyBorder="1">
      <alignment horizontal="right" vertical="center"/>
    </xf>
    <xf numFmtId="173" fontId="17" fillId="0" borderId="12" xfId="13" applyNumberFormat="1" applyBorder="1">
      <alignment horizontal="right" vertical="center"/>
    </xf>
    <xf numFmtId="173" fontId="17" fillId="0" borderId="13" xfId="13" applyNumberFormat="1" applyBorder="1">
      <alignment horizontal="right" vertical="center"/>
    </xf>
    <xf numFmtId="0" fontId="0" fillId="0" borderId="0" xfId="0" applyBorder="1"/>
    <xf numFmtId="0" fontId="11" fillId="0" borderId="0" xfId="0" applyFont="1"/>
    <xf numFmtId="17" fontId="4" fillId="0" borderId="21" xfId="0" applyNumberFormat="1" applyFont="1" applyBorder="1" applyAlignment="1">
      <alignment horizontal="center"/>
    </xf>
    <xf numFmtId="44" fontId="4" fillId="0" borderId="22" xfId="0" applyNumberFormat="1" applyFont="1" applyBorder="1" applyAlignment="1">
      <alignment horizontal="center"/>
    </xf>
    <xf numFmtId="44" fontId="4" fillId="0" borderId="22" xfId="0" applyNumberFormat="1" applyFont="1" applyBorder="1" applyAlignment="1">
      <alignment horizontal="center" wrapText="1"/>
    </xf>
    <xf numFmtId="175" fontId="4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44" fontId="4" fillId="0" borderId="23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14" applyFont="1" applyFill="1" applyBorder="1" applyAlignment="1">
      <alignment horizontal="center" wrapText="1"/>
    </xf>
    <xf numFmtId="44" fontId="4" fillId="0" borderId="0" xfId="15" applyFont="1" applyFill="1" applyBorder="1" applyAlignment="1">
      <alignment horizontal="center" wrapText="1"/>
    </xf>
    <xf numFmtId="165" fontId="7" fillId="0" borderId="28" xfId="0" applyNumberFormat="1" applyFont="1" applyBorder="1"/>
    <xf numFmtId="44" fontId="7" fillId="0" borderId="29" xfId="0" applyNumberFormat="1" applyFont="1" applyBorder="1"/>
    <xf numFmtId="37" fontId="7" fillId="0" borderId="30" xfId="0" applyNumberFormat="1" applyFont="1" applyBorder="1"/>
    <xf numFmtId="37" fontId="7" fillId="0" borderId="31" xfId="0" applyNumberFormat="1" applyFont="1" applyBorder="1"/>
    <xf numFmtId="44" fontId="7" fillId="0" borderId="30" xfId="0" applyNumberFormat="1" applyFont="1" applyBorder="1"/>
    <xf numFmtId="3" fontId="7" fillId="0" borderId="29" xfId="0" applyNumberFormat="1" applyFont="1" applyBorder="1"/>
    <xf numFmtId="44" fontId="7" fillId="0" borderId="32" xfId="0" applyNumberFormat="1" applyFont="1" applyBorder="1"/>
    <xf numFmtId="44" fontId="7" fillId="0" borderId="31" xfId="0" applyNumberFormat="1" applyFont="1" applyBorder="1"/>
    <xf numFmtId="3" fontId="7" fillId="0" borderId="30" xfId="0" applyNumberFormat="1" applyFont="1" applyBorder="1"/>
    <xf numFmtId="3" fontId="7" fillId="0" borderId="29" xfId="0" applyNumberFormat="1" applyFont="1" applyFill="1" applyBorder="1"/>
    <xf numFmtId="4" fontId="0" fillId="0" borderId="0" xfId="0" applyNumberFormat="1"/>
    <xf numFmtId="39" fontId="0" fillId="0" borderId="0" xfId="0" applyNumberFormat="1"/>
    <xf numFmtId="44" fontId="7" fillId="0" borderId="33" xfId="0" applyNumberFormat="1" applyFont="1" applyBorder="1"/>
    <xf numFmtId="37" fontId="7" fillId="0" borderId="34" xfId="0" applyNumberFormat="1" applyFont="1" applyBorder="1"/>
    <xf numFmtId="37" fontId="7" fillId="0" borderId="35" xfId="0" applyNumberFormat="1" applyFont="1" applyBorder="1"/>
    <xf numFmtId="44" fontId="7" fillId="0" borderId="34" xfId="0" applyNumberFormat="1" applyFont="1" applyBorder="1"/>
    <xf numFmtId="3" fontId="7" fillId="0" borderId="33" xfId="0" applyNumberFormat="1" applyFont="1" applyBorder="1"/>
    <xf numFmtId="44" fontId="7" fillId="0" borderId="36" xfId="0" applyNumberFormat="1" applyFont="1" applyBorder="1"/>
    <xf numFmtId="44" fontId="7" fillId="0" borderId="35" xfId="0" applyNumberFormat="1" applyFont="1" applyBorder="1"/>
    <xf numFmtId="3" fontId="7" fillId="0" borderId="34" xfId="0" applyNumberFormat="1" applyFont="1" applyBorder="1"/>
    <xf numFmtId="3" fontId="7" fillId="0" borderId="33" xfId="0" applyNumberFormat="1" applyFont="1" applyFill="1" applyBorder="1"/>
    <xf numFmtId="44" fontId="7" fillId="0" borderId="35" xfId="16" applyFont="1" applyBorder="1"/>
    <xf numFmtId="165" fontId="7" fillId="0" borderId="37" xfId="0" applyNumberFormat="1" applyFont="1" applyBorder="1"/>
    <xf numFmtId="44" fontId="0" fillId="0" borderId="35" xfId="0" applyNumberFormat="1" applyBorder="1"/>
    <xf numFmtId="165" fontId="7" fillId="0" borderId="38" xfId="0" applyNumberFormat="1" applyFont="1" applyBorder="1"/>
    <xf numFmtId="44" fontId="7" fillId="0" borderId="39" xfId="0" applyNumberFormat="1" applyFont="1" applyBorder="1"/>
    <xf numFmtId="37" fontId="7" fillId="0" borderId="39" xfId="0" applyNumberFormat="1" applyFont="1" applyBorder="1"/>
    <xf numFmtId="37" fontId="7" fillId="0" borderId="40" xfId="0" applyNumberFormat="1" applyFont="1" applyBorder="1"/>
    <xf numFmtId="44" fontId="7" fillId="0" borderId="41" xfId="0" applyNumberFormat="1" applyFont="1" applyBorder="1"/>
    <xf numFmtId="3" fontId="7" fillId="0" borderId="39" xfId="0" applyNumberFormat="1" applyFont="1" applyBorder="1"/>
    <xf numFmtId="44" fontId="7" fillId="0" borderId="40" xfId="0" applyNumberFormat="1" applyFont="1" applyBorder="1"/>
    <xf numFmtId="3" fontId="7" fillId="0" borderId="41" xfId="0" applyNumberFormat="1" applyFont="1" applyBorder="1"/>
    <xf numFmtId="3" fontId="7" fillId="0" borderId="39" xfId="0" applyNumberFormat="1" applyFont="1" applyFill="1" applyBorder="1"/>
    <xf numFmtId="44" fontId="7" fillId="0" borderId="42" xfId="0" applyNumberFormat="1" applyFont="1" applyBorder="1"/>
    <xf numFmtId="165" fontId="4" fillId="0" borderId="43" xfId="0" applyNumberFormat="1" applyFont="1" applyBorder="1"/>
    <xf numFmtId="44" fontId="4" fillId="0" borderId="33" xfId="0" applyNumberFormat="1" applyFont="1" applyBorder="1"/>
    <xf numFmtId="37" fontId="4" fillId="0" borderId="33" xfId="0" applyNumberFormat="1" applyFont="1" applyBorder="1"/>
    <xf numFmtId="37" fontId="4" fillId="0" borderId="35" xfId="0" applyNumberFormat="1" applyFont="1" applyBorder="1"/>
    <xf numFmtId="44" fontId="4" fillId="0" borderId="34" xfId="0" applyNumberFormat="1" applyFont="1" applyBorder="1"/>
    <xf numFmtId="3" fontId="4" fillId="0" borderId="33" xfId="0" applyNumberFormat="1" applyFont="1" applyBorder="1"/>
    <xf numFmtId="44" fontId="4" fillId="0" borderId="35" xfId="0" applyNumberFormat="1" applyFont="1" applyBorder="1"/>
    <xf numFmtId="3" fontId="4" fillId="0" borderId="34" xfId="0" applyNumberFormat="1" applyFont="1" applyBorder="1"/>
    <xf numFmtId="44" fontId="4" fillId="0" borderId="44" xfId="0" applyNumberFormat="1" applyFont="1" applyBorder="1"/>
    <xf numFmtId="165" fontId="4" fillId="0" borderId="45" xfId="0" applyNumberFormat="1" applyFont="1" applyBorder="1"/>
    <xf numFmtId="44" fontId="4" fillId="0" borderId="46" xfId="0" applyNumberFormat="1" applyFont="1" applyBorder="1"/>
    <xf numFmtId="37" fontId="4" fillId="0" borderId="46" xfId="0" applyNumberFormat="1" applyFont="1" applyBorder="1"/>
    <xf numFmtId="37" fontId="4" fillId="0" borderId="47" xfId="0" applyNumberFormat="1" applyFont="1" applyBorder="1"/>
    <xf numFmtId="44" fontId="4" fillId="0" borderId="48" xfId="0" applyNumberFormat="1" applyFont="1" applyBorder="1"/>
    <xf numFmtId="3" fontId="4" fillId="0" borderId="46" xfId="0" applyNumberFormat="1" applyFont="1" applyBorder="1"/>
    <xf numFmtId="44" fontId="4" fillId="0" borderId="47" xfId="0" applyNumberFormat="1" applyFont="1" applyBorder="1"/>
    <xf numFmtId="3" fontId="4" fillId="0" borderId="48" xfId="0" applyNumberFormat="1" applyFont="1" applyBorder="1"/>
    <xf numFmtId="37" fontId="4" fillId="0" borderId="48" xfId="0" applyNumberFormat="1" applyFont="1" applyBorder="1"/>
    <xf numFmtId="165" fontId="4" fillId="0" borderId="0" xfId="0" applyNumberFormat="1" applyFont="1" applyBorder="1"/>
    <xf numFmtId="44" fontId="4" fillId="0" borderId="0" xfId="0" applyNumberFormat="1" applyFont="1" applyBorder="1"/>
    <xf numFmtId="37" fontId="4" fillId="0" borderId="0" xfId="0" applyNumberFormat="1" applyFont="1" applyBorder="1"/>
    <xf numFmtId="3" fontId="4" fillId="0" borderId="0" xfId="0" applyNumberFormat="1" applyFont="1" applyBorder="1"/>
    <xf numFmtId="165" fontId="0" fillId="0" borderId="0" xfId="0" applyNumberFormat="1"/>
    <xf numFmtId="44" fontId="0" fillId="0" borderId="0" xfId="0" applyNumberFormat="1"/>
    <xf numFmtId="44" fontId="4" fillId="0" borderId="49" xfId="0" applyNumberFormat="1" applyFont="1" applyBorder="1" applyAlignment="1">
      <alignment horizontal="center"/>
    </xf>
    <xf numFmtId="44" fontId="4" fillId="0" borderId="49" xfId="0" applyNumberFormat="1" applyFont="1" applyBorder="1"/>
    <xf numFmtId="0" fontId="4" fillId="0" borderId="49" xfId="0" applyFont="1" applyBorder="1" applyAlignment="1">
      <alignment horizontal="right"/>
    </xf>
    <xf numFmtId="168" fontId="0" fillId="0" borderId="0" xfId="1" applyNumberFormat="1" applyFont="1"/>
    <xf numFmtId="0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quotePrefix="1" applyAlignment="1">
      <alignment horizontal="center"/>
    </xf>
    <xf numFmtId="176" fontId="0" fillId="0" borderId="0" xfId="3" applyNumberFormat="1" applyFont="1"/>
    <xf numFmtId="0" fontId="0" fillId="0" borderId="0" xfId="0" applyNumberFormat="1" applyBorder="1" applyAlignment="1">
      <alignment horizontal="center"/>
    </xf>
    <xf numFmtId="43" fontId="0" fillId="0" borderId="0" xfId="0" applyNumberFormat="1" applyBorder="1"/>
    <xf numFmtId="0" fontId="0" fillId="0" borderId="0" xfId="0" applyBorder="1" applyAlignment="1">
      <alignment horizontal="right"/>
    </xf>
    <xf numFmtId="37" fontId="0" fillId="0" borderId="0" xfId="0" applyNumberFormat="1" applyBorder="1" applyAlignment="1">
      <alignment horizontal="right"/>
    </xf>
    <xf numFmtId="0" fontId="0" fillId="0" borderId="0" xfId="0" quotePrefix="1"/>
    <xf numFmtId="0" fontId="0" fillId="0" borderId="50" xfId="0" applyNumberFormat="1" applyBorder="1" applyAlignment="1">
      <alignment horizontal="center"/>
    </xf>
    <xf numFmtId="43" fontId="0" fillId="0" borderId="50" xfId="0" applyNumberFormat="1" applyBorder="1"/>
    <xf numFmtId="37" fontId="0" fillId="0" borderId="50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4" fillId="0" borderId="0" xfId="0" applyNumberFormat="1" applyFont="1"/>
    <xf numFmtId="44" fontId="4" fillId="0" borderId="0" xfId="0" applyNumberFormat="1" applyFont="1"/>
    <xf numFmtId="3" fontId="4" fillId="0" borderId="0" xfId="0" applyNumberFormat="1" applyFont="1" applyAlignment="1">
      <alignment horizontal="right"/>
    </xf>
    <xf numFmtId="43" fontId="0" fillId="0" borderId="0" xfId="1" applyFont="1"/>
    <xf numFmtId="0" fontId="20" fillId="0" borderId="0" xfId="17"/>
    <xf numFmtId="0" fontId="21" fillId="0" borderId="51" xfId="17" applyFont="1" applyBorder="1" applyAlignment="1">
      <alignment horizontal="center"/>
    </xf>
    <xf numFmtId="0" fontId="21" fillId="0" borderId="52" xfId="17" applyFont="1" applyFill="1" applyBorder="1" applyAlignment="1">
      <alignment horizontal="center"/>
    </xf>
    <xf numFmtId="0" fontId="21" fillId="0" borderId="51" xfId="17" applyFont="1" applyFill="1" applyBorder="1" applyAlignment="1">
      <alignment horizontal="center"/>
    </xf>
    <xf numFmtId="0" fontId="22" fillId="0" borderId="33" xfId="17" applyFont="1" applyBorder="1"/>
    <xf numFmtId="44" fontId="20" fillId="0" borderId="33" xfId="17" applyNumberFormat="1" applyBorder="1"/>
    <xf numFmtId="0" fontId="20" fillId="0" borderId="53" xfId="17" applyBorder="1"/>
    <xf numFmtId="3" fontId="20" fillId="0" borderId="53" xfId="17" applyNumberFormat="1" applyBorder="1"/>
    <xf numFmtId="3" fontId="20" fillId="0" borderId="33" xfId="17" applyNumberFormat="1" applyBorder="1"/>
    <xf numFmtId="177" fontId="20" fillId="0" borderId="33" xfId="17" applyNumberFormat="1" applyBorder="1"/>
    <xf numFmtId="0" fontId="20" fillId="0" borderId="33" xfId="17" applyBorder="1"/>
    <xf numFmtId="178" fontId="20" fillId="0" borderId="33" xfId="17" applyNumberFormat="1" applyBorder="1"/>
    <xf numFmtId="3" fontId="20" fillId="0" borderId="39" xfId="17" applyNumberFormat="1" applyBorder="1"/>
    <xf numFmtId="8" fontId="20" fillId="0" borderId="33" xfId="17" applyNumberFormat="1" applyBorder="1"/>
    <xf numFmtId="0" fontId="21" fillId="0" borderId="54" xfId="17" applyFont="1" applyBorder="1" applyAlignment="1">
      <alignment horizontal="right"/>
    </xf>
    <xf numFmtId="178" fontId="21" fillId="0" borderId="54" xfId="17" applyNumberFormat="1" applyFont="1" applyBorder="1"/>
    <xf numFmtId="0" fontId="20" fillId="0" borderId="54" xfId="17" applyBorder="1"/>
    <xf numFmtId="10" fontId="20" fillId="0" borderId="33" xfId="17" applyNumberFormat="1" applyBorder="1"/>
    <xf numFmtId="9" fontId="20" fillId="0" borderId="33" xfId="17" applyNumberFormat="1" applyBorder="1"/>
    <xf numFmtId="0" fontId="23" fillId="0" borderId="55" xfId="17" applyFont="1" applyBorder="1" applyAlignment="1">
      <alignment horizontal="right"/>
    </xf>
    <xf numFmtId="44" fontId="23" fillId="0" borderId="55" xfId="17" applyNumberFormat="1" applyFont="1" applyBorder="1"/>
    <xf numFmtId="0" fontId="23" fillId="0" borderId="51" xfId="17" applyFont="1" applyFill="1" applyBorder="1"/>
    <xf numFmtId="44" fontId="23" fillId="0" borderId="51" xfId="17" applyNumberFormat="1" applyFont="1" applyBorder="1"/>
    <xf numFmtId="0" fontId="23" fillId="0" borderId="56" xfId="17" applyFont="1" applyFill="1" applyBorder="1" applyAlignment="1">
      <alignment horizontal="right"/>
    </xf>
    <xf numFmtId="44" fontId="23" fillId="0" borderId="57" xfId="17" applyNumberFormat="1" applyFont="1" applyBorder="1"/>
    <xf numFmtId="0" fontId="24" fillId="0" borderId="0" xfId="17" applyFont="1" applyFill="1" applyBorder="1"/>
    <xf numFmtId="0" fontId="11" fillId="0" borderId="0" xfId="0" applyFont="1" applyFill="1" applyAlignment="1">
      <alignment horizontal="left"/>
    </xf>
    <xf numFmtId="0" fontId="1" fillId="0" borderId="0" xfId="10" applyAlignment="1">
      <alignment horizontal="center"/>
    </xf>
    <xf numFmtId="0" fontId="1" fillId="0" borderId="10" xfId="10" applyBorder="1" applyAlignment="1">
      <alignment horizontal="center"/>
    </xf>
    <xf numFmtId="44" fontId="4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17" xfId="0" applyNumberFormat="1" applyFont="1" applyBorder="1" applyAlignment="1">
      <alignment horizontal="center"/>
    </xf>
    <xf numFmtId="44" fontId="12" fillId="0" borderId="18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4" fillId="0" borderId="0" xfId="17" applyFont="1" applyFill="1" applyBorder="1" applyAlignment="1">
      <alignment horizontal="left"/>
    </xf>
    <xf numFmtId="0" fontId="21" fillId="0" borderId="0" xfId="17" applyFont="1" applyAlignment="1">
      <alignment horizontal="center"/>
    </xf>
  </cellXfs>
  <cellStyles count="18">
    <cellStyle name="Comma" xfId="1" builtinId="3"/>
    <cellStyle name="Comma 12" xfId="11"/>
    <cellStyle name="Currency" xfId="2" builtinId="4"/>
    <cellStyle name="Currency 5 3" xfId="16"/>
    <cellStyle name="Currency 7 3" xfId="15"/>
    <cellStyle name="Good" xfId="4" builtinId="26"/>
    <cellStyle name="Normal" xfId="0" builtinId="0"/>
    <cellStyle name="Normal 10" xfId="6"/>
    <cellStyle name="Normal 4" xfId="17"/>
    <cellStyle name="Normal 4 2" xfId="14"/>
    <cellStyle name="Normal 6 2 3" xfId="10"/>
    <cellStyle name="Percent" xfId="3" builtinId="5"/>
    <cellStyle name="SAPDataCell" xfId="5"/>
    <cellStyle name="SAPDataCell_DSMRC Recoveries &amp; Sales" xfId="12"/>
    <cellStyle name="SAPDataTotalCell_DSMRC Recoveries &amp; Sales" xfId="13"/>
    <cellStyle name="SAPDimensionCell_DSMRC Recoveries &amp; Sales" xfId="7"/>
    <cellStyle name="SAPMemberCell_DSMRC Recoveries &amp; Sales" xfId="8"/>
    <cellStyle name="SAPMemberTotalCell_DSMRC Recoveries &amp; Sale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zoomScaleSheetLayoutView="110" workbookViewId="0">
      <selection activeCell="C23" sqref="C23"/>
    </sheetView>
  </sheetViews>
  <sheetFormatPr defaultRowHeight="12.75" x14ac:dyDescent="0.2"/>
  <cols>
    <col min="1" max="1" width="18.140625" customWidth="1"/>
    <col min="2" max="2" width="16.28515625" customWidth="1"/>
    <col min="3" max="5" width="16.42578125" customWidth="1"/>
    <col min="7" max="7" width="2.5703125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5" spans="1:1" x14ac:dyDescent="0.2">
      <c r="A5" s="2" t="s">
        <v>4</v>
      </c>
    </row>
    <row r="6" spans="1:1" ht="6" customHeight="1" x14ac:dyDescent="0.2"/>
    <row r="7" spans="1:1" x14ac:dyDescent="0.2">
      <c r="A7" s="3" t="s">
        <v>5</v>
      </c>
    </row>
    <row r="8" spans="1:1" x14ac:dyDescent="0.2">
      <c r="A8" s="4" t="s">
        <v>6</v>
      </c>
    </row>
    <row r="9" spans="1:1" x14ac:dyDescent="0.2">
      <c r="A9" s="4" t="s">
        <v>7</v>
      </c>
    </row>
    <row r="10" spans="1:1" x14ac:dyDescent="0.2">
      <c r="A10" s="4" t="s">
        <v>8</v>
      </c>
    </row>
    <row r="11" spans="1:1" x14ac:dyDescent="0.2">
      <c r="A11" s="4" t="s">
        <v>9</v>
      </c>
    </row>
    <row r="12" spans="1:1" x14ac:dyDescent="0.2">
      <c r="A12" s="4" t="s">
        <v>10</v>
      </c>
    </row>
    <row r="13" spans="1:1" x14ac:dyDescent="0.2">
      <c r="A13" s="4" t="s">
        <v>11</v>
      </c>
    </row>
    <row r="14" spans="1:1" x14ac:dyDescent="0.2">
      <c r="A14" s="4" t="s">
        <v>12</v>
      </c>
    </row>
    <row r="15" spans="1:1" ht="7.5" customHeight="1" x14ac:dyDescent="0.2"/>
    <row r="16" spans="1:1" x14ac:dyDescent="0.2">
      <c r="A16" s="1" t="s">
        <v>13</v>
      </c>
    </row>
    <row r="17" spans="1:8" ht="25.5" x14ac:dyDescent="0.2">
      <c r="A17" s="5" t="s">
        <v>14</v>
      </c>
      <c r="B17" s="5" t="s">
        <v>15</v>
      </c>
      <c r="C17" s="5" t="s">
        <v>16</v>
      </c>
      <c r="D17" s="5" t="s">
        <v>17</v>
      </c>
      <c r="E17" s="5" t="s">
        <v>18</v>
      </c>
    </row>
    <row r="18" spans="1:8" x14ac:dyDescent="0.2">
      <c r="B18" s="6" t="s">
        <v>19</v>
      </c>
      <c r="C18" s="6" t="s">
        <v>20</v>
      </c>
      <c r="D18" s="6" t="s">
        <v>21</v>
      </c>
      <c r="E18" s="6" t="s">
        <v>22</v>
      </c>
    </row>
    <row r="19" spans="1:8" ht="15" x14ac:dyDescent="0.25">
      <c r="A19" s="7">
        <v>1</v>
      </c>
      <c r="B19" s="8">
        <v>42979</v>
      </c>
      <c r="C19" s="9">
        <f>'DSMRC Costs'!V26</f>
        <v>13898.029507845882</v>
      </c>
      <c r="D19" s="10">
        <v>0.15340000000000001</v>
      </c>
      <c r="E19" s="11">
        <f t="shared" ref="E19:E30" si="0">ROUND(C19*D19,2)</f>
        <v>2131.96</v>
      </c>
      <c r="H19" s="12"/>
    </row>
    <row r="20" spans="1:8" ht="15" x14ac:dyDescent="0.25">
      <c r="A20" s="7">
        <v>2</v>
      </c>
      <c r="B20" s="13">
        <f>EDATE(B19,1)</f>
        <v>43009</v>
      </c>
      <c r="C20" s="9">
        <f>'DSMRC Costs'!V27</f>
        <v>24911.081625359329</v>
      </c>
      <c r="D20" s="10">
        <v>0.15340000000000001</v>
      </c>
      <c r="E20" s="11">
        <f t="shared" si="0"/>
        <v>3821.36</v>
      </c>
      <c r="H20" s="12"/>
    </row>
    <row r="21" spans="1:8" ht="15" x14ac:dyDescent="0.25">
      <c r="A21" s="7">
        <v>3</v>
      </c>
      <c r="B21" s="13">
        <f t="shared" ref="B21:B30" si="1">EDATE(B20,1)</f>
        <v>43040</v>
      </c>
      <c r="C21" s="9">
        <f>'DSMRC Costs'!V28</f>
        <v>12787.836972885138</v>
      </c>
      <c r="D21" s="10">
        <v>0.15340000000000001</v>
      </c>
      <c r="E21" s="11">
        <f t="shared" si="0"/>
        <v>1961.65</v>
      </c>
      <c r="H21" s="12"/>
    </row>
    <row r="22" spans="1:8" ht="15" x14ac:dyDescent="0.25">
      <c r="A22" s="7">
        <v>4</v>
      </c>
      <c r="B22" s="13">
        <f t="shared" si="1"/>
        <v>43070</v>
      </c>
      <c r="C22" s="9">
        <f>'DSMRC Costs'!V29</f>
        <v>8888.1445085691321</v>
      </c>
      <c r="D22" s="10">
        <v>0.15340000000000001</v>
      </c>
      <c r="E22" s="11">
        <f t="shared" si="0"/>
        <v>1363.44</v>
      </c>
      <c r="H22" s="12"/>
    </row>
    <row r="23" spans="1:8" ht="15" x14ac:dyDescent="0.25">
      <c r="A23" s="7">
        <v>5</v>
      </c>
      <c r="B23" s="13">
        <f t="shared" si="1"/>
        <v>43101</v>
      </c>
      <c r="C23" s="9">
        <f>'DSMRC Costs'!V32</f>
        <v>10563.973578060197</v>
      </c>
      <c r="D23" s="10">
        <v>0</v>
      </c>
      <c r="E23" s="11">
        <f t="shared" si="0"/>
        <v>0</v>
      </c>
      <c r="H23" s="12"/>
    </row>
    <row r="24" spans="1:8" ht="15" x14ac:dyDescent="0.25">
      <c r="A24" s="7">
        <v>6</v>
      </c>
      <c r="B24" s="13">
        <f t="shared" si="1"/>
        <v>43132</v>
      </c>
      <c r="C24" s="9">
        <f>'DSMRC Costs'!V33</f>
        <v>13437.625168306909</v>
      </c>
      <c r="D24" s="10">
        <f t="shared" ref="D24:D30" si="2">D23</f>
        <v>0</v>
      </c>
      <c r="E24" s="11">
        <f t="shared" si="0"/>
        <v>0</v>
      </c>
      <c r="H24" s="12"/>
    </row>
    <row r="25" spans="1:8" ht="15" x14ac:dyDescent="0.25">
      <c r="A25" s="7">
        <v>7</v>
      </c>
      <c r="B25" s="13">
        <f t="shared" si="1"/>
        <v>43160</v>
      </c>
      <c r="C25" s="9">
        <f>'DSMRC Costs'!V34</f>
        <v>14308.726499726828</v>
      </c>
      <c r="D25" s="10">
        <f t="shared" si="2"/>
        <v>0</v>
      </c>
      <c r="E25" s="11">
        <f t="shared" si="0"/>
        <v>0</v>
      </c>
      <c r="H25" s="12"/>
    </row>
    <row r="26" spans="1:8" ht="15" x14ac:dyDescent="0.25">
      <c r="A26" s="7">
        <v>8</v>
      </c>
      <c r="B26" s="13">
        <f t="shared" si="1"/>
        <v>43191</v>
      </c>
      <c r="C26" s="9">
        <f>'DSMRC Costs'!V35</f>
        <v>25146.260423644024</v>
      </c>
      <c r="D26" s="10">
        <f t="shared" si="2"/>
        <v>0</v>
      </c>
      <c r="E26" s="11">
        <f t="shared" si="0"/>
        <v>0</v>
      </c>
      <c r="H26" s="12"/>
    </row>
    <row r="27" spans="1:8" ht="15" x14ac:dyDescent="0.25">
      <c r="A27" s="7">
        <v>9</v>
      </c>
      <c r="B27" s="13">
        <f t="shared" si="1"/>
        <v>43221</v>
      </c>
      <c r="C27" s="9">
        <f>'DSMRC Costs'!V36</f>
        <v>29933.342923408967</v>
      </c>
      <c r="D27" s="10">
        <f t="shared" si="2"/>
        <v>0</v>
      </c>
      <c r="E27" s="11">
        <f t="shared" si="0"/>
        <v>0</v>
      </c>
      <c r="H27" s="12"/>
    </row>
    <row r="28" spans="1:8" ht="15" x14ac:dyDescent="0.25">
      <c r="A28" s="7">
        <v>10</v>
      </c>
      <c r="B28" s="13">
        <f t="shared" si="1"/>
        <v>43252</v>
      </c>
      <c r="C28" s="9">
        <f>'DSMRC Costs'!V37</f>
        <v>14180.752708067732</v>
      </c>
      <c r="D28" s="10">
        <f t="shared" si="2"/>
        <v>0</v>
      </c>
      <c r="E28" s="11">
        <f t="shared" si="0"/>
        <v>0</v>
      </c>
      <c r="H28" s="12"/>
    </row>
    <row r="29" spans="1:8" ht="15" x14ac:dyDescent="0.25">
      <c r="A29" s="7">
        <v>11</v>
      </c>
      <c r="B29" s="13">
        <f t="shared" si="1"/>
        <v>43282</v>
      </c>
      <c r="C29" s="9">
        <f>'DSMRC Costs'!V38</f>
        <v>11217.800793186743</v>
      </c>
      <c r="D29" s="10">
        <f t="shared" si="2"/>
        <v>0</v>
      </c>
      <c r="E29" s="11">
        <f t="shared" si="0"/>
        <v>0</v>
      </c>
      <c r="H29" s="12"/>
    </row>
    <row r="30" spans="1:8" ht="15" x14ac:dyDescent="0.25">
      <c r="A30" s="7">
        <v>12</v>
      </c>
      <c r="B30" s="13">
        <f t="shared" si="1"/>
        <v>43313</v>
      </c>
      <c r="C30" s="9">
        <f>'DSMRC Costs'!V39</f>
        <v>19042.588408373937</v>
      </c>
      <c r="D30" s="10">
        <f t="shared" si="2"/>
        <v>0</v>
      </c>
      <c r="E30" s="11">
        <f t="shared" si="0"/>
        <v>0</v>
      </c>
      <c r="H30" s="12"/>
    </row>
    <row r="31" spans="1:8" x14ac:dyDescent="0.2">
      <c r="A31" s="6">
        <v>13</v>
      </c>
      <c r="B31" s="14" t="s">
        <v>23</v>
      </c>
      <c r="E31" s="15">
        <f>SUM(E19:E30)</f>
        <v>9278.41</v>
      </c>
      <c r="H31" s="12"/>
    </row>
    <row r="32" spans="1:8" x14ac:dyDescent="0.2">
      <c r="A32" s="6"/>
    </row>
    <row r="33" spans="1:5" x14ac:dyDescent="0.2">
      <c r="A33" s="6">
        <v>14</v>
      </c>
      <c r="B33" t="s">
        <v>24</v>
      </c>
      <c r="E33" s="12">
        <f>'2018'!G25</f>
        <v>10318061.1</v>
      </c>
    </row>
    <row r="34" spans="1:5" x14ac:dyDescent="0.2">
      <c r="A34" s="6"/>
    </row>
    <row r="35" spans="1:5" x14ac:dyDescent="0.2">
      <c r="A35" s="6">
        <v>15</v>
      </c>
      <c r="B35" t="s">
        <v>25</v>
      </c>
      <c r="E35" s="16">
        <f>ROUND(E31/E33,4)</f>
        <v>8.9999999999999998E-4</v>
      </c>
    </row>
    <row r="36" spans="1:5" x14ac:dyDescent="0.2">
      <c r="A36" s="6"/>
    </row>
    <row r="37" spans="1:5" x14ac:dyDescent="0.2">
      <c r="A37" s="6"/>
    </row>
    <row r="38" spans="1:5" x14ac:dyDescent="0.2">
      <c r="A38" s="6"/>
    </row>
    <row r="39" spans="1:5" x14ac:dyDescent="0.2">
      <c r="A39" s="6"/>
    </row>
    <row r="40" spans="1:5" ht="25.5" x14ac:dyDescent="0.2">
      <c r="A40" s="1" t="s">
        <v>26</v>
      </c>
      <c r="B40" s="5" t="s">
        <v>15</v>
      </c>
      <c r="C40" s="5" t="s">
        <v>16</v>
      </c>
      <c r="D40" s="5" t="s">
        <v>17</v>
      </c>
      <c r="E40" s="5" t="s">
        <v>18</v>
      </c>
    </row>
    <row r="41" spans="1:5" x14ac:dyDescent="0.2">
      <c r="A41" s="5" t="s">
        <v>14</v>
      </c>
      <c r="B41" s="6" t="s">
        <v>19</v>
      </c>
      <c r="C41" s="6" t="s">
        <v>20</v>
      </c>
      <c r="D41" s="6" t="s">
        <v>21</v>
      </c>
      <c r="E41" s="6" t="s">
        <v>22</v>
      </c>
    </row>
    <row r="42" spans="1:5" ht="15" x14ac:dyDescent="0.25">
      <c r="A42" s="7">
        <v>1</v>
      </c>
      <c r="B42" s="13">
        <f>+B19</f>
        <v>42979</v>
      </c>
      <c r="C42" s="9">
        <f>'DSMRC Costs'!W26</f>
        <v>92.826433591212378</v>
      </c>
      <c r="D42" s="10">
        <v>0.15340000000000001</v>
      </c>
      <c r="E42" s="11">
        <f t="shared" ref="E42:E53" si="3">ROUND(C42*D42,2)</f>
        <v>14.24</v>
      </c>
    </row>
    <row r="43" spans="1:5" ht="15" x14ac:dyDescent="0.25">
      <c r="A43" s="7">
        <v>2</v>
      </c>
      <c r="B43" s="13">
        <f t="shared" ref="B43:B53" si="4">B20</f>
        <v>43009</v>
      </c>
      <c r="C43" s="9">
        <f>'DSMRC Costs'!W27</f>
        <v>0</v>
      </c>
      <c r="D43" s="10">
        <v>0.15340000000000001</v>
      </c>
      <c r="E43" s="11">
        <f t="shared" si="3"/>
        <v>0</v>
      </c>
    </row>
    <row r="44" spans="1:5" ht="15" x14ac:dyDescent="0.25">
      <c r="A44" s="7">
        <v>3</v>
      </c>
      <c r="B44" s="13">
        <f t="shared" si="4"/>
        <v>43040</v>
      </c>
      <c r="C44" s="9">
        <f>'DSMRC Costs'!W28</f>
        <v>0</v>
      </c>
      <c r="D44" s="10">
        <v>0.15340000000000001</v>
      </c>
      <c r="E44" s="11">
        <f t="shared" si="3"/>
        <v>0</v>
      </c>
    </row>
    <row r="45" spans="1:5" ht="15" x14ac:dyDescent="0.25">
      <c r="A45" s="7">
        <v>4</v>
      </c>
      <c r="B45" s="13">
        <f t="shared" si="4"/>
        <v>43070</v>
      </c>
      <c r="C45" s="9">
        <f>'DSMRC Costs'!W29</f>
        <v>0</v>
      </c>
      <c r="D45" s="10">
        <v>0.15340000000000001</v>
      </c>
      <c r="E45" s="11">
        <f t="shared" si="3"/>
        <v>0</v>
      </c>
    </row>
    <row r="46" spans="1:5" ht="15" x14ac:dyDescent="0.25">
      <c r="A46" s="7">
        <v>5</v>
      </c>
      <c r="B46" s="13">
        <f t="shared" si="4"/>
        <v>43101</v>
      </c>
      <c r="C46" s="9">
        <f>'DSMRC Costs'!W32</f>
        <v>0</v>
      </c>
      <c r="D46" s="10">
        <v>0</v>
      </c>
      <c r="E46" s="11">
        <f t="shared" si="3"/>
        <v>0</v>
      </c>
    </row>
    <row r="47" spans="1:5" ht="15" x14ac:dyDescent="0.25">
      <c r="A47" s="7">
        <v>6</v>
      </c>
      <c r="B47" s="13">
        <f t="shared" si="4"/>
        <v>43132</v>
      </c>
      <c r="C47" s="9">
        <f>'DSMRC Costs'!W33</f>
        <v>0</v>
      </c>
      <c r="D47" s="10">
        <f t="shared" ref="D47:D53" si="5">D46</f>
        <v>0</v>
      </c>
      <c r="E47" s="11">
        <f t="shared" si="3"/>
        <v>0</v>
      </c>
    </row>
    <row r="48" spans="1:5" ht="15" x14ac:dyDescent="0.25">
      <c r="A48" s="7">
        <v>7</v>
      </c>
      <c r="B48" s="13">
        <f t="shared" si="4"/>
        <v>43160</v>
      </c>
      <c r="C48" s="9">
        <f>'DSMRC Costs'!W34</f>
        <v>0</v>
      </c>
      <c r="D48" s="10">
        <f t="shared" si="5"/>
        <v>0</v>
      </c>
      <c r="E48" s="11">
        <f t="shared" si="3"/>
        <v>0</v>
      </c>
    </row>
    <row r="49" spans="1:5" ht="15" x14ac:dyDescent="0.25">
      <c r="A49" s="7">
        <v>8</v>
      </c>
      <c r="B49" s="13">
        <f t="shared" si="4"/>
        <v>43191</v>
      </c>
      <c r="C49" s="9">
        <f>'DSMRC Costs'!W35</f>
        <v>0</v>
      </c>
      <c r="D49" s="10">
        <f t="shared" si="5"/>
        <v>0</v>
      </c>
      <c r="E49" s="11">
        <f t="shared" si="3"/>
        <v>0</v>
      </c>
    </row>
    <row r="50" spans="1:5" ht="15" x14ac:dyDescent="0.25">
      <c r="A50" s="7">
        <v>9</v>
      </c>
      <c r="B50" s="13">
        <f t="shared" si="4"/>
        <v>43221</v>
      </c>
      <c r="C50" s="9">
        <f>'DSMRC Costs'!W36</f>
        <v>492.68292682926835</v>
      </c>
      <c r="D50" s="10">
        <f t="shared" si="5"/>
        <v>0</v>
      </c>
      <c r="E50" s="11">
        <f t="shared" si="3"/>
        <v>0</v>
      </c>
    </row>
    <row r="51" spans="1:5" ht="15" x14ac:dyDescent="0.25">
      <c r="A51" s="7">
        <v>10</v>
      </c>
      <c r="B51" s="13">
        <f t="shared" si="4"/>
        <v>43252</v>
      </c>
      <c r="C51" s="9">
        <f>'DSMRC Costs'!W37</f>
        <v>985.36585365853671</v>
      </c>
      <c r="D51" s="10">
        <f t="shared" si="5"/>
        <v>0</v>
      </c>
      <c r="E51" s="11">
        <f t="shared" si="3"/>
        <v>0</v>
      </c>
    </row>
    <row r="52" spans="1:5" ht="15" x14ac:dyDescent="0.25">
      <c r="A52" s="7">
        <v>11</v>
      </c>
      <c r="B52" s="13">
        <f t="shared" si="4"/>
        <v>43282</v>
      </c>
      <c r="C52" s="9">
        <f>'DSMRC Costs'!W38</f>
        <v>0</v>
      </c>
      <c r="D52" s="10">
        <f t="shared" si="5"/>
        <v>0</v>
      </c>
      <c r="E52" s="11">
        <f t="shared" si="3"/>
        <v>0</v>
      </c>
    </row>
    <row r="53" spans="1:5" ht="15" x14ac:dyDescent="0.25">
      <c r="A53" s="7">
        <v>12</v>
      </c>
      <c r="B53" s="13">
        <f t="shared" si="4"/>
        <v>43313</v>
      </c>
      <c r="C53" s="9">
        <f>'DSMRC Costs'!W39</f>
        <v>0</v>
      </c>
      <c r="D53" s="10">
        <f t="shared" si="5"/>
        <v>0</v>
      </c>
      <c r="E53" s="11">
        <f t="shared" si="3"/>
        <v>0</v>
      </c>
    </row>
    <row r="54" spans="1:5" x14ac:dyDescent="0.2">
      <c r="A54" s="7">
        <v>13</v>
      </c>
      <c r="B54" s="17" t="s">
        <v>23</v>
      </c>
      <c r="C54" s="18"/>
      <c r="D54" s="18"/>
      <c r="E54" s="19">
        <f>SUM(E42:E53)</f>
        <v>14.24</v>
      </c>
    </row>
    <row r="55" spans="1:5" x14ac:dyDescent="0.2">
      <c r="A55" s="6"/>
    </row>
    <row r="56" spans="1:5" x14ac:dyDescent="0.2">
      <c r="A56" s="6">
        <v>14</v>
      </c>
      <c r="B56" t="s">
        <v>27</v>
      </c>
      <c r="E56" s="12">
        <f>'2018'!G62</f>
        <v>-1451074.4000000001</v>
      </c>
    </row>
    <row r="57" spans="1:5" x14ac:dyDescent="0.2">
      <c r="A57" s="6"/>
    </row>
    <row r="58" spans="1:5" x14ac:dyDescent="0.2">
      <c r="A58" s="6">
        <v>15</v>
      </c>
      <c r="B58" t="s">
        <v>25</v>
      </c>
      <c r="E58" s="16">
        <f>ROUND(E54/E56,4)</f>
        <v>0</v>
      </c>
    </row>
    <row r="59" spans="1:5" x14ac:dyDescent="0.2">
      <c r="A59" s="6"/>
    </row>
    <row r="60" spans="1:5" x14ac:dyDescent="0.2">
      <c r="A60" s="6"/>
    </row>
  </sheetData>
  <pageMargins left="0.5" right="0.5" top="0.5" bottom="0.5" header="0.3" footer="0.3"/>
  <pageSetup scale="96" orientation="portrait" r:id="rId1"/>
  <headerFooter alignWithMargins="0"/>
  <rowBreaks count="1" manualBreakCount="1"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topLeftCell="A17" zoomScaleNormal="100" zoomScaleSheetLayoutView="90" zoomScalePageLayoutView="70" workbookViewId="0">
      <selection activeCell="E62" sqref="E62"/>
    </sheetView>
  </sheetViews>
  <sheetFormatPr defaultRowHeight="12.75" x14ac:dyDescent="0.2"/>
  <cols>
    <col min="1" max="1" width="33" style="18" customWidth="1"/>
    <col min="2" max="2" width="7.42578125" style="18" bestFit="1" customWidth="1"/>
    <col min="3" max="3" width="15" style="18" bestFit="1" customWidth="1"/>
    <col min="4" max="6" width="13.28515625" style="18" bestFit="1" customWidth="1"/>
    <col min="7" max="7" width="11.85546875" style="18" bestFit="1" customWidth="1"/>
    <col min="8" max="9" width="10.140625" style="21" bestFit="1" customWidth="1"/>
    <col min="10" max="10" width="11.28515625" style="21" bestFit="1" customWidth="1"/>
    <col min="11" max="11" width="9.140625" style="18"/>
    <col min="12" max="12" width="12.28515625" style="18" customWidth="1"/>
    <col min="13" max="13" width="11.7109375" style="18" bestFit="1" customWidth="1"/>
    <col min="14" max="14" width="5.7109375" style="18" customWidth="1"/>
    <col min="15" max="16" width="12.28515625" style="18" bestFit="1" customWidth="1"/>
    <col min="17" max="16384" width="9.140625" style="18"/>
  </cols>
  <sheetData>
    <row r="1" spans="1:14" ht="15" x14ac:dyDescent="0.2">
      <c r="A1" s="217" t="s">
        <v>28</v>
      </c>
      <c r="B1" s="217"/>
      <c r="C1" s="217"/>
      <c r="D1" s="217"/>
      <c r="E1" s="217"/>
      <c r="F1" s="217"/>
      <c r="G1" s="20"/>
    </row>
    <row r="2" spans="1:14" ht="15" x14ac:dyDescent="0.2">
      <c r="A2" s="22" t="s">
        <v>1</v>
      </c>
      <c r="B2" s="22"/>
      <c r="C2" s="22"/>
      <c r="D2" s="22"/>
      <c r="E2" s="22"/>
      <c r="F2" s="22"/>
      <c r="G2" s="20"/>
    </row>
    <row r="3" spans="1:14" ht="15" x14ac:dyDescent="0.2">
      <c r="A3" s="217" t="s">
        <v>29</v>
      </c>
      <c r="B3" s="217"/>
      <c r="C3" s="217"/>
      <c r="D3" s="217"/>
      <c r="E3" s="217"/>
      <c r="F3" s="217"/>
      <c r="G3" s="20"/>
    </row>
    <row r="4" spans="1:14" x14ac:dyDescent="0.2">
      <c r="G4" s="20"/>
    </row>
    <row r="5" spans="1:14" ht="15.75" x14ac:dyDescent="0.25">
      <c r="A5" s="23" t="s">
        <v>30</v>
      </c>
      <c r="G5" s="20"/>
    </row>
    <row r="6" spans="1:14" x14ac:dyDescent="0.2">
      <c r="G6" s="20"/>
    </row>
    <row r="7" spans="1:14" ht="15.75" x14ac:dyDescent="0.25">
      <c r="A7" s="23" t="s">
        <v>31</v>
      </c>
      <c r="C7" s="7" t="s">
        <v>19</v>
      </c>
      <c r="D7" s="7" t="s">
        <v>20</v>
      </c>
      <c r="E7" s="7" t="s">
        <v>21</v>
      </c>
      <c r="F7" s="24" t="s">
        <v>22</v>
      </c>
      <c r="G7" s="7" t="s">
        <v>32</v>
      </c>
      <c r="H7" s="25" t="s">
        <v>33</v>
      </c>
      <c r="I7" s="25" t="s">
        <v>34</v>
      </c>
      <c r="J7" s="26" t="s">
        <v>35</v>
      </c>
    </row>
    <row r="8" spans="1:14" x14ac:dyDescent="0.2">
      <c r="F8" s="7" t="s">
        <v>36</v>
      </c>
      <c r="G8" s="20"/>
    </row>
    <row r="9" spans="1:14" x14ac:dyDescent="0.2">
      <c r="C9" s="7" t="s">
        <v>37</v>
      </c>
      <c r="D9" s="7" t="s">
        <v>37</v>
      </c>
      <c r="E9" s="27" t="s">
        <v>38</v>
      </c>
      <c r="F9" s="7" t="s">
        <v>37</v>
      </c>
      <c r="G9" s="24" t="s">
        <v>39</v>
      </c>
      <c r="H9" s="25" t="s">
        <v>40</v>
      </c>
      <c r="I9" s="25" t="s">
        <v>41</v>
      </c>
      <c r="J9" s="25" t="s">
        <v>42</v>
      </c>
    </row>
    <row r="10" spans="1:14" x14ac:dyDescent="0.2">
      <c r="C10" s="28" t="s">
        <v>43</v>
      </c>
      <c r="D10" s="28" t="s">
        <v>44</v>
      </c>
      <c r="E10" s="28" t="s">
        <v>45</v>
      </c>
      <c r="F10" s="28" t="s">
        <v>46</v>
      </c>
      <c r="G10" s="29" t="s">
        <v>47</v>
      </c>
      <c r="H10" s="30" t="s">
        <v>42</v>
      </c>
      <c r="I10" s="30" t="s">
        <v>42</v>
      </c>
      <c r="J10" s="30" t="s">
        <v>48</v>
      </c>
    </row>
    <row r="11" spans="1:14" x14ac:dyDescent="0.2">
      <c r="A11" s="18" t="s">
        <v>49</v>
      </c>
      <c r="C11" s="28"/>
      <c r="D11" s="28"/>
      <c r="E11" s="28"/>
      <c r="F11" s="31">
        <v>-99670.084969999982</v>
      </c>
      <c r="G11" s="24" t="s">
        <v>50</v>
      </c>
    </row>
    <row r="12" spans="1:14" ht="6" customHeight="1" x14ac:dyDescent="0.2">
      <c r="C12" s="28"/>
      <c r="D12" s="28"/>
      <c r="E12" s="28"/>
      <c r="F12" s="32"/>
      <c r="G12" s="24"/>
    </row>
    <row r="13" spans="1:14" ht="15" x14ac:dyDescent="0.25">
      <c r="B13" s="8">
        <v>42979</v>
      </c>
      <c r="C13" s="33">
        <f>+-1*'DSMRC Recoveries &amp; Sales'!I8</f>
        <v>-21910.39</v>
      </c>
      <c r="D13" s="34">
        <f>'DSMRC Costs'!Y26</f>
        <v>61209.323580000004</v>
      </c>
      <c r="E13" s="35">
        <f>E$25*(G13/G$25)</f>
        <v>2359.8333050744404</v>
      </c>
      <c r="F13" s="35">
        <f>SUM(C13:E13)</f>
        <v>41658.766885074445</v>
      </c>
      <c r="G13" s="36">
        <f>+'DSMRC Recoveries &amp; Sales'!C8</f>
        <v>176673.8</v>
      </c>
      <c r="H13" s="37">
        <f>-C13/G13</f>
        <v>0.12401606803046065</v>
      </c>
      <c r="I13" s="38">
        <v>0.1245</v>
      </c>
      <c r="J13" s="21">
        <f>H13-I13</f>
        <v>-4.8393196953934459E-4</v>
      </c>
      <c r="L13" s="39"/>
      <c r="M13" s="40"/>
      <c r="N13" s="41"/>
    </row>
    <row r="14" spans="1:14" ht="15" x14ac:dyDescent="0.25">
      <c r="B14" s="42">
        <f>EDATE(B13,1)</f>
        <v>43009</v>
      </c>
      <c r="C14" s="33">
        <f>+-1*'DSMRC Recoveries &amp; Sales'!I9</f>
        <v>-21350.25</v>
      </c>
      <c r="D14" s="34">
        <f>'DSMRC Costs'!Y27</f>
        <v>114974.09383999999</v>
      </c>
      <c r="E14" s="35">
        <f t="shared" ref="E14:E23" si="0">E$25*(G14/G$25)</f>
        <v>2300.8647875283036</v>
      </c>
      <c r="F14" s="35">
        <f>SUM(C14:E14)</f>
        <v>95924.708627528293</v>
      </c>
      <c r="G14" s="36">
        <f>+'DSMRC Recoveries &amp; Sales'!C9</f>
        <v>172259</v>
      </c>
      <c r="H14" s="37">
        <f>-C14/G14</f>
        <v>0.12394272577920457</v>
      </c>
      <c r="I14" s="37">
        <f>$I$13</f>
        <v>0.1245</v>
      </c>
      <c r="J14" s="21">
        <f t="shared" ref="J14:J24" si="1">H14-I14</f>
        <v>-5.5727422079543398E-4</v>
      </c>
      <c r="L14" s="39"/>
      <c r="M14" s="40"/>
      <c r="N14" s="41"/>
    </row>
    <row r="15" spans="1:14" ht="15" x14ac:dyDescent="0.25">
      <c r="B15" s="42">
        <f t="shared" ref="B15:B24" si="2">EDATE(B14,1)</f>
        <v>43040</v>
      </c>
      <c r="C15" s="33">
        <f>+-1*'DSMRC Recoveries &amp; Sales'!I10</f>
        <v>-87829.38</v>
      </c>
      <c r="D15" s="34">
        <f>'DSMRC Costs'!Y28</f>
        <v>70403.442370000004</v>
      </c>
      <c r="E15" s="35">
        <f t="shared" si="0"/>
        <v>9424.26517992361</v>
      </c>
      <c r="F15" s="35">
        <f t="shared" ref="F15:F21" si="3">SUM(C15:E15)</f>
        <v>-8001.6724500763903</v>
      </c>
      <c r="G15" s="36">
        <f>+'DSMRC Recoveries &amp; Sales'!C10</f>
        <v>705567.1</v>
      </c>
      <c r="H15" s="37">
        <f t="shared" ref="H15:H24" si="4">-C15/G15</f>
        <v>0.1244805490505439</v>
      </c>
      <c r="I15" s="37">
        <f t="shared" ref="I15:I16" si="5">$I$13</f>
        <v>0.1245</v>
      </c>
      <c r="J15" s="21">
        <f t="shared" si="1"/>
        <v>-1.9450949456101263E-5</v>
      </c>
      <c r="L15" s="39"/>
      <c r="M15" s="40"/>
      <c r="N15" s="41"/>
    </row>
    <row r="16" spans="1:14" ht="15" x14ac:dyDescent="0.25">
      <c r="B16" s="42">
        <f t="shared" si="2"/>
        <v>43070</v>
      </c>
      <c r="C16" s="33">
        <f>+-1*'DSMRC Recoveries &amp; Sales'!I11</f>
        <v>-166399.54</v>
      </c>
      <c r="D16" s="34">
        <f>'DSMRC Costs'!Y29</f>
        <v>32663.000930000002</v>
      </c>
      <c r="E16" s="35">
        <f t="shared" si="0"/>
        <v>17852.196428092229</v>
      </c>
      <c r="F16" s="35">
        <f t="shared" si="3"/>
        <v>-115884.34264190777</v>
      </c>
      <c r="G16" s="36">
        <f>+'DSMRC Recoveries &amp; Sales'!C11</f>
        <v>1336541.6000000001</v>
      </c>
      <c r="H16" s="37">
        <f t="shared" si="4"/>
        <v>0.12450008290052475</v>
      </c>
      <c r="I16" s="37">
        <f t="shared" si="5"/>
        <v>0.1245</v>
      </c>
      <c r="J16" s="21">
        <f t="shared" si="1"/>
        <v>8.2900524750462168E-8</v>
      </c>
      <c r="L16" s="39"/>
      <c r="M16" s="40"/>
      <c r="N16" s="41"/>
    </row>
    <row r="17" spans="1:16" ht="15" x14ac:dyDescent="0.25">
      <c r="B17" s="42">
        <f t="shared" si="2"/>
        <v>43101</v>
      </c>
      <c r="C17" s="33">
        <f>+-1*'DSMRC Recoveries &amp; Sales'!I12</f>
        <v>-299376.61</v>
      </c>
      <c r="D17" s="34">
        <f>'DSMRC Costs'!Y32</f>
        <v>47482.55</v>
      </c>
      <c r="E17" s="35">
        <f t="shared" si="0"/>
        <v>33285.657818602325</v>
      </c>
      <c r="F17" s="35">
        <f t="shared" si="3"/>
        <v>-218608.40218139766</v>
      </c>
      <c r="G17" s="36">
        <f>+'DSMRC Recoveries &amp; Sales'!C12</f>
        <v>2491999.6</v>
      </c>
      <c r="H17" s="37">
        <f t="shared" si="4"/>
        <v>0.12013509552730264</v>
      </c>
      <c r="I17" s="38">
        <v>1.6799999999999999E-2</v>
      </c>
      <c r="J17" s="21">
        <f t="shared" si="1"/>
        <v>0.10333509552730265</v>
      </c>
      <c r="L17" s="39"/>
      <c r="M17" s="40"/>
      <c r="N17" s="41"/>
    </row>
    <row r="18" spans="1:16" ht="15" x14ac:dyDescent="0.25">
      <c r="B18" s="42">
        <f t="shared" si="2"/>
        <v>43132</v>
      </c>
      <c r="C18" s="33">
        <f>+-1*'DSMRC Recoveries &amp; Sales'!I13</f>
        <v>-234886.11</v>
      </c>
      <c r="D18" s="34">
        <f>'DSMRC Costs'!Y33</f>
        <v>57430.32415</v>
      </c>
      <c r="E18" s="35">
        <f t="shared" si="0"/>
        <v>27025.399284387939</v>
      </c>
      <c r="F18" s="35">
        <f t="shared" si="3"/>
        <v>-150430.38656561205</v>
      </c>
      <c r="G18" s="36">
        <f>+'DSMRC Recoveries &amp; Sales'!C13</f>
        <v>2023312.4</v>
      </c>
      <c r="H18" s="37">
        <f t="shared" si="4"/>
        <v>0.11608988804694717</v>
      </c>
      <c r="I18" s="37">
        <f>+$I$17</f>
        <v>1.6799999999999999E-2</v>
      </c>
      <c r="J18" s="21">
        <f t="shared" si="1"/>
        <v>9.9289888046947175E-2</v>
      </c>
      <c r="L18" s="39"/>
      <c r="M18" s="40"/>
      <c r="N18" s="41"/>
    </row>
    <row r="19" spans="1:16" ht="15" x14ac:dyDescent="0.25">
      <c r="B19" s="42">
        <f t="shared" si="2"/>
        <v>43160</v>
      </c>
      <c r="C19" s="33">
        <f>+-1*'DSMRC Recoveries &amp; Sales'!I14</f>
        <v>-146168.6</v>
      </c>
      <c r="D19" s="34">
        <f>'DSMRC Costs'!Y34</f>
        <v>67788.41</v>
      </c>
      <c r="E19" s="35">
        <f t="shared" si="0"/>
        <v>16817.879173571546</v>
      </c>
      <c r="F19" s="35">
        <f t="shared" si="3"/>
        <v>-61562.310826428453</v>
      </c>
      <c r="G19" s="36">
        <f>+'DSMRC Recoveries &amp; Sales'!C14</f>
        <v>1259105.3</v>
      </c>
      <c r="H19" s="37">
        <f t="shared" si="4"/>
        <v>0.1160892579834268</v>
      </c>
      <c r="I19" s="37">
        <f t="shared" ref="I19:I24" si="6">+$I$17</f>
        <v>1.6799999999999999E-2</v>
      </c>
      <c r="J19" s="21">
        <f t="shared" si="1"/>
        <v>9.9289257983426804E-2</v>
      </c>
      <c r="L19" s="39"/>
      <c r="M19" s="40"/>
      <c r="N19" s="41"/>
    </row>
    <row r="20" spans="1:16" ht="15" x14ac:dyDescent="0.25">
      <c r="B20" s="42">
        <f t="shared" si="2"/>
        <v>43191</v>
      </c>
      <c r="C20" s="33">
        <f>+-1*'DSMRC Recoveries &amp; Sales'!I15</f>
        <v>-141932.92000000001</v>
      </c>
      <c r="D20" s="34">
        <f>'DSMRC Costs'!Y35</f>
        <v>99628.095220000003</v>
      </c>
      <c r="E20" s="35">
        <f t="shared" si="0"/>
        <v>16330.512684111512</v>
      </c>
      <c r="F20" s="35">
        <f t="shared" si="3"/>
        <v>-25974.312095888497</v>
      </c>
      <c r="G20" s="36">
        <f>+'DSMRC Recoveries &amp; Sales'!C15</f>
        <v>1222617.6000000001</v>
      </c>
      <c r="H20" s="37">
        <f>-C20/G20</f>
        <v>0.11608938068616058</v>
      </c>
      <c r="I20" s="37">
        <f t="shared" si="6"/>
        <v>1.6799999999999999E-2</v>
      </c>
      <c r="J20" s="21">
        <f t="shared" si="1"/>
        <v>9.9289380686160583E-2</v>
      </c>
      <c r="L20" s="39"/>
      <c r="M20" s="40"/>
      <c r="N20" s="41"/>
      <c r="P20" s="41"/>
    </row>
    <row r="21" spans="1:16" ht="15" x14ac:dyDescent="0.25">
      <c r="B21" s="42">
        <f t="shared" si="2"/>
        <v>43221</v>
      </c>
      <c r="C21" s="33">
        <f>+-1*'DSMRC Recoveries &amp; Sales'!I16</f>
        <v>-49135.11</v>
      </c>
      <c r="D21" s="34">
        <f>'DSMRC Costs'!Y36</f>
        <v>114064.00257</v>
      </c>
      <c r="E21" s="35">
        <f t="shared" si="0"/>
        <v>6312.8103452666437</v>
      </c>
      <c r="F21" s="35">
        <f t="shared" si="3"/>
        <v>71241.702915266636</v>
      </c>
      <c r="G21" s="36">
        <f>+'DSMRC Recoveries &amp; Sales'!C16</f>
        <v>472621.6</v>
      </c>
      <c r="H21" s="37">
        <f>-C21/G21</f>
        <v>0.10396289547494232</v>
      </c>
      <c r="I21" s="37">
        <f t="shared" si="6"/>
        <v>1.6799999999999999E-2</v>
      </c>
      <c r="J21" s="21">
        <f>H21-I21</f>
        <v>8.7162895474942326E-2</v>
      </c>
      <c r="L21" s="39"/>
      <c r="M21" s="40"/>
      <c r="N21" s="41"/>
      <c r="P21" s="41"/>
    </row>
    <row r="22" spans="1:16" ht="15" x14ac:dyDescent="0.25">
      <c r="B22" s="42">
        <f t="shared" si="2"/>
        <v>43252</v>
      </c>
      <c r="C22" s="33">
        <f>+-1*'DSMRC Recoveries &amp; Sales'!I17</f>
        <v>-2130.36</v>
      </c>
      <c r="D22" s="34">
        <f>'DSMRC Costs'!Y37</f>
        <v>63525.990000000005</v>
      </c>
      <c r="E22" s="35">
        <f t="shared" si="0"/>
        <v>2047.5117370817127</v>
      </c>
      <c r="F22" s="35">
        <f>SUM(C22:E22)</f>
        <v>63443.141737081714</v>
      </c>
      <c r="G22" s="36">
        <f>+'DSMRC Recoveries &amp; Sales'!C17</f>
        <v>153291.20000000001</v>
      </c>
      <c r="H22" s="37">
        <f t="shared" si="4"/>
        <v>1.3897470957236945E-2</v>
      </c>
      <c r="I22" s="37">
        <f t="shared" si="6"/>
        <v>1.6799999999999999E-2</v>
      </c>
      <c r="J22" s="21">
        <f t="shared" si="1"/>
        <v>-2.9025290427630544E-3</v>
      </c>
      <c r="L22" s="39"/>
      <c r="M22" s="40"/>
      <c r="N22" s="41"/>
      <c r="P22" s="41"/>
    </row>
    <row r="23" spans="1:16" ht="15" x14ac:dyDescent="0.25">
      <c r="B23" s="42">
        <f t="shared" si="2"/>
        <v>43282</v>
      </c>
      <c r="C23" s="33">
        <f>+-1*'DSMRC Recoveries &amp; Sales'!I18</f>
        <v>-2502.5700000000002</v>
      </c>
      <c r="D23" s="34">
        <f>'DSMRC Costs'!Y38</f>
        <v>46587.270000000004</v>
      </c>
      <c r="E23" s="35">
        <f t="shared" si="0"/>
        <v>2207.3470338933666</v>
      </c>
      <c r="F23" s="35">
        <f>SUM(C23:E23)</f>
        <v>46292.047033893374</v>
      </c>
      <c r="G23" s="36">
        <f>+'DSMRC Recoveries &amp; Sales'!C18</f>
        <v>165257.60000000001</v>
      </c>
      <c r="H23" s="37">
        <f t="shared" si="4"/>
        <v>1.5143448773309065E-2</v>
      </c>
      <c r="I23" s="37">
        <f t="shared" si="6"/>
        <v>1.6799999999999999E-2</v>
      </c>
      <c r="J23" s="21">
        <f t="shared" si="1"/>
        <v>-1.6565512266909343E-3</v>
      </c>
      <c r="L23" s="39"/>
      <c r="M23" s="40"/>
      <c r="N23" s="41"/>
      <c r="P23" s="41"/>
    </row>
    <row r="24" spans="1:16" ht="15" x14ac:dyDescent="0.25">
      <c r="B24" s="42">
        <f t="shared" si="2"/>
        <v>43313</v>
      </c>
      <c r="C24" s="33">
        <f>+-1*'DSMRC Recoveries &amp; Sales'!I19</f>
        <v>-2209.5</v>
      </c>
      <c r="D24" s="34">
        <f>'DSMRC Costs'!Y39</f>
        <v>92320.425260000018</v>
      </c>
      <c r="E24" s="35">
        <f>E$25*(G24/G$25)</f>
        <v>1854.1436724664034</v>
      </c>
      <c r="F24" s="35">
        <f>SUM(C24:E24)</f>
        <v>91965.068932466427</v>
      </c>
      <c r="G24" s="36">
        <f>+'DSMRC Recoveries &amp; Sales'!C19</f>
        <v>138814.29999999999</v>
      </c>
      <c r="H24" s="37">
        <f t="shared" si="4"/>
        <v>1.5916948037774208E-2</v>
      </c>
      <c r="I24" s="37">
        <f t="shared" si="6"/>
        <v>1.6799999999999999E-2</v>
      </c>
      <c r="J24" s="21">
        <f t="shared" si="1"/>
        <v>-8.8305196222579138E-4</v>
      </c>
      <c r="L24" s="39"/>
      <c r="M24" s="43"/>
      <c r="N24" s="41"/>
      <c r="P24" s="41"/>
    </row>
    <row r="25" spans="1:16" ht="15" x14ac:dyDescent="0.25">
      <c r="C25" s="44">
        <f>SUM(C13:C24)</f>
        <v>-1175831.3400000003</v>
      </c>
      <c r="D25" s="45">
        <f>SUM(D13:D24)</f>
        <v>868076.92792000005</v>
      </c>
      <c r="E25" s="46">
        <f>+'DIA + DLSA Revenue'!B12+'DIA + DLSA Revenue'!B14</f>
        <v>137818.42145000002</v>
      </c>
      <c r="F25" s="44">
        <f>SUM(F11:F24)</f>
        <v>-269606.07560000004</v>
      </c>
      <c r="G25" s="47">
        <f>SUM(G13:G24)</f>
        <v>10318061.1</v>
      </c>
      <c r="M25" s="48"/>
    </row>
    <row r="26" spans="1:16" ht="5.25" customHeight="1" x14ac:dyDescent="0.2">
      <c r="C26" s="40"/>
      <c r="D26" s="40"/>
      <c r="E26" s="40"/>
      <c r="F26" s="40"/>
      <c r="G26" s="20"/>
    </row>
    <row r="27" spans="1:16" x14ac:dyDescent="0.2">
      <c r="A27" s="49" t="str">
        <f>CONCATENATE("3-month Average Commercial Paper Rate at ",TEXT(EDATE(B24,1), "MMMM YYYY"))</f>
        <v>3-month Average Commercial Paper Rate at September 2018</v>
      </c>
      <c r="B27" s="50"/>
      <c r="C27" s="50"/>
      <c r="E27" s="51">
        <v>2.1999999999999999E-2</v>
      </c>
      <c r="F27" s="52">
        <f>ROUND(F25*E27,2)</f>
        <v>-5931.33</v>
      </c>
      <c r="G27" s="53"/>
    </row>
    <row r="28" spans="1:16" x14ac:dyDescent="0.2">
      <c r="A28" s="18" t="s">
        <v>51</v>
      </c>
      <c r="F28" s="54">
        <f>SUM(F25:F27)</f>
        <v>-275537.40560000006</v>
      </c>
      <c r="G28" s="55"/>
    </row>
    <row r="29" spans="1:16" ht="5.25" customHeight="1" x14ac:dyDescent="0.2">
      <c r="G29" s="20"/>
    </row>
    <row r="30" spans="1:16" x14ac:dyDescent="0.2">
      <c r="A30" s="18" t="s">
        <v>24</v>
      </c>
      <c r="D30" s="41"/>
      <c r="E30" s="41"/>
      <c r="F30" s="56">
        <f>G25</f>
        <v>10318061.1</v>
      </c>
    </row>
    <row r="31" spans="1:16" ht="5.25" customHeight="1" x14ac:dyDescent="0.2">
      <c r="G31" s="20"/>
    </row>
    <row r="32" spans="1:16" x14ac:dyDescent="0.2">
      <c r="A32" s="18" t="s">
        <v>52</v>
      </c>
      <c r="F32" s="57">
        <f>ROUND(F28/F30,4)</f>
        <v>-2.6700000000000002E-2</v>
      </c>
      <c r="G32" s="58"/>
      <c r="J32" s="59"/>
    </row>
    <row r="33" spans="1:14" ht="5.25" customHeight="1" x14ac:dyDescent="0.2">
      <c r="F33" s="57"/>
      <c r="G33" s="20"/>
    </row>
    <row r="34" spans="1:14" x14ac:dyDescent="0.2">
      <c r="A34" s="18" t="s">
        <v>53</v>
      </c>
      <c r="C34" s="60"/>
      <c r="F34" s="57">
        <f>ROUND((180000/F30),4)</f>
        <v>1.7399999999999999E-2</v>
      </c>
      <c r="G34" s="57"/>
      <c r="J34" s="59"/>
    </row>
    <row r="35" spans="1:14" ht="5.25" customHeight="1" x14ac:dyDescent="0.2">
      <c r="F35" s="57"/>
      <c r="G35" s="20"/>
    </row>
    <row r="36" spans="1:14" x14ac:dyDescent="0.2">
      <c r="A36" s="18" t="s">
        <v>54</v>
      </c>
      <c r="F36" s="57">
        <f>ROUND(DLSA!E35,4)</f>
        <v>8.9999999999999998E-4</v>
      </c>
      <c r="G36" s="20"/>
      <c r="J36" s="59"/>
    </row>
    <row r="37" spans="1:14" ht="5.25" customHeight="1" x14ac:dyDescent="0.2">
      <c r="A37" s="61"/>
      <c r="B37" s="61"/>
      <c r="F37" s="57"/>
      <c r="G37" s="20"/>
    </row>
    <row r="38" spans="1:14" x14ac:dyDescent="0.2">
      <c r="A38" s="18" t="s">
        <v>55</v>
      </c>
      <c r="F38" s="57">
        <f>ROUND(('DIA + DLSA Revenue'!B12/F30),4)</f>
        <v>1.03E-2</v>
      </c>
      <c r="G38" s="57"/>
      <c r="J38" s="59"/>
    </row>
    <row r="39" spans="1:14" ht="5.25" customHeight="1" x14ac:dyDescent="0.2">
      <c r="F39" s="57"/>
      <c r="G39" s="20"/>
    </row>
    <row r="40" spans="1:14" ht="13.5" thickBot="1" x14ac:dyDescent="0.25">
      <c r="A40" s="18" t="s">
        <v>56</v>
      </c>
      <c r="F40" s="62">
        <f>SUM(F32:F39)</f>
        <v>1.8999999999999972E-3</v>
      </c>
      <c r="J40" s="59"/>
      <c r="N40" s="63"/>
    </row>
    <row r="41" spans="1:14" ht="13.5" thickTop="1" x14ac:dyDescent="0.2"/>
    <row r="42" spans="1:14" x14ac:dyDescent="0.2">
      <c r="A42" s="64"/>
    </row>
    <row r="44" spans="1:14" ht="15.75" x14ac:dyDescent="0.25">
      <c r="A44" s="23" t="s">
        <v>26</v>
      </c>
      <c r="C44" s="7" t="s">
        <v>19</v>
      </c>
      <c r="D44" s="7" t="s">
        <v>20</v>
      </c>
      <c r="E44" s="7" t="s">
        <v>21</v>
      </c>
      <c r="F44" s="24" t="s">
        <v>22</v>
      </c>
      <c r="G44" s="7" t="s">
        <v>32</v>
      </c>
      <c r="H44" s="25" t="s">
        <v>33</v>
      </c>
      <c r="I44" s="25" t="s">
        <v>34</v>
      </c>
      <c r="J44" s="26" t="s">
        <v>35</v>
      </c>
    </row>
    <row r="45" spans="1:14" x14ac:dyDescent="0.2">
      <c r="F45" s="7" t="s">
        <v>36</v>
      </c>
      <c r="G45" s="20"/>
    </row>
    <row r="46" spans="1:14" x14ac:dyDescent="0.2">
      <c r="C46" s="7" t="s">
        <v>37</v>
      </c>
      <c r="D46" s="7" t="s">
        <v>37</v>
      </c>
      <c r="E46" s="27" t="s">
        <v>38</v>
      </c>
      <c r="F46" s="7" t="s">
        <v>37</v>
      </c>
      <c r="G46" s="65" t="s">
        <v>57</v>
      </c>
      <c r="H46" s="25" t="s">
        <v>40</v>
      </c>
      <c r="I46" s="25" t="s">
        <v>41</v>
      </c>
      <c r="J46" s="25" t="s">
        <v>42</v>
      </c>
    </row>
    <row r="47" spans="1:14" x14ac:dyDescent="0.2">
      <c r="C47" s="28" t="s">
        <v>43</v>
      </c>
      <c r="D47" s="28" t="s">
        <v>44</v>
      </c>
      <c r="E47" s="28" t="s">
        <v>45</v>
      </c>
      <c r="F47" s="28" t="s">
        <v>46</v>
      </c>
      <c r="G47" s="29" t="s">
        <v>47</v>
      </c>
      <c r="H47" s="30" t="s">
        <v>42</v>
      </c>
      <c r="I47" s="30" t="s">
        <v>42</v>
      </c>
      <c r="J47" s="30" t="s">
        <v>48</v>
      </c>
    </row>
    <row r="48" spans="1:14" x14ac:dyDescent="0.2">
      <c r="A48" s="18" t="s">
        <v>49</v>
      </c>
      <c r="C48" s="28"/>
      <c r="D48" s="28"/>
      <c r="E48" s="28"/>
      <c r="F48" s="31">
        <v>26398.522580000103</v>
      </c>
      <c r="G48" s="24" t="s">
        <v>50</v>
      </c>
    </row>
    <row r="49" spans="1:14" ht="6" customHeight="1" x14ac:dyDescent="0.2">
      <c r="C49" s="28"/>
      <c r="D49" s="28"/>
      <c r="E49" s="28"/>
      <c r="F49" s="32"/>
      <c r="G49" s="24"/>
    </row>
    <row r="50" spans="1:14" ht="15" x14ac:dyDescent="0.25">
      <c r="B50" s="42">
        <f>B13</f>
        <v>42979</v>
      </c>
      <c r="C50" s="33">
        <f>+-1*'DSMRC Recoveries &amp; Sales'!G8</f>
        <v>-846.28</v>
      </c>
      <c r="D50" s="34">
        <f>'DSMRC Costs'!AA26</f>
        <v>1154.15642</v>
      </c>
      <c r="E50" s="35">
        <f>E$62*(G50/G$62)</f>
        <v>-139.66234202569487</v>
      </c>
      <c r="F50" s="35">
        <f>SUM(C50:E50)</f>
        <v>168.21407797430518</v>
      </c>
      <c r="G50" s="36">
        <f>+'DSMRC Recoveries &amp; Sales'!A8</f>
        <v>202689.9</v>
      </c>
      <c r="H50" s="37">
        <f>-(C50/G50)</f>
        <v>4.1752450418101744E-3</v>
      </c>
      <c r="I50" s="38">
        <v>4.1999999999999997E-3</v>
      </c>
      <c r="J50" s="21">
        <f t="shared" ref="J50:J56" si="7">H50-I50</f>
        <v>-2.4754958189825323E-5</v>
      </c>
      <c r="L50" s="66"/>
      <c r="M50" s="67"/>
      <c r="N50" s="41"/>
    </row>
    <row r="51" spans="1:14" ht="15" x14ac:dyDescent="0.25">
      <c r="B51" s="42">
        <f t="shared" ref="B51:B61" si="8">B14</f>
        <v>43009</v>
      </c>
      <c r="C51" s="33">
        <f>+-1*'DSMRC Recoveries &amp; Sales'!G9</f>
        <v>-801.78</v>
      </c>
      <c r="D51" s="34">
        <f>'DSMRC Costs'!AA27</f>
        <v>993.74615999999992</v>
      </c>
      <c r="E51" s="35">
        <f t="shared" ref="E51:E60" si="9">E$62*(G51/G$62)</f>
        <v>-132.53617586021775</v>
      </c>
      <c r="F51" s="35">
        <f t="shared" ref="F51:F56" si="10">SUM(C51:E51)</f>
        <v>59.429984139782192</v>
      </c>
      <c r="G51" s="36">
        <f>+'DSMRC Recoveries &amp; Sales'!A9</f>
        <v>192347.8</v>
      </c>
      <c r="H51" s="37">
        <f t="shared" ref="H51:H61" si="11">-(C51/G51)</f>
        <v>4.1683866412820939E-3</v>
      </c>
      <c r="I51" s="37">
        <f>+$I$50</f>
        <v>4.1999999999999997E-3</v>
      </c>
      <c r="J51" s="21">
        <f t="shared" si="7"/>
        <v>-3.1613358717905854E-5</v>
      </c>
      <c r="L51" s="66"/>
      <c r="M51" s="40"/>
      <c r="N51" s="41"/>
    </row>
    <row r="52" spans="1:14" ht="15" x14ac:dyDescent="0.25">
      <c r="B52" s="42">
        <f t="shared" si="8"/>
        <v>43040</v>
      </c>
      <c r="C52" s="33">
        <f>+-1*'DSMRC Recoveries &amp; Sales'!G10</f>
        <v>-1549.21</v>
      </c>
      <c r="D52" s="34">
        <f>'DSMRC Costs'!AA28</f>
        <v>1704.7176300000003</v>
      </c>
      <c r="E52" s="35">
        <f t="shared" si="9"/>
        <v>-254.40167221899853</v>
      </c>
      <c r="F52" s="35">
        <f t="shared" si="10"/>
        <v>-98.894042218998237</v>
      </c>
      <c r="G52" s="36">
        <f>+'DSMRC Recoveries &amp; Sales'!A10</f>
        <v>369209.4</v>
      </c>
      <c r="H52" s="37">
        <f t="shared" si="11"/>
        <v>4.1960199279866654E-3</v>
      </c>
      <c r="I52" s="37">
        <f t="shared" ref="I52:I53" si="12">+$I$50</f>
        <v>4.1999999999999997E-3</v>
      </c>
      <c r="J52" s="21">
        <f t="shared" si="7"/>
        <v>-3.980072013334314E-6</v>
      </c>
      <c r="L52" s="66"/>
      <c r="M52" s="40"/>
      <c r="N52" s="41"/>
    </row>
    <row r="53" spans="1:14" ht="15" x14ac:dyDescent="0.25">
      <c r="B53" s="42">
        <f t="shared" si="8"/>
        <v>43070</v>
      </c>
      <c r="C53" s="33">
        <f>+-1*'DSMRC Recoveries &amp; Sales'!G11</f>
        <v>-2615.36</v>
      </c>
      <c r="D53" s="34">
        <f>'DSMRC Costs'!AA29</f>
        <v>5.3588700000000005</v>
      </c>
      <c r="E53" s="35">
        <f t="shared" si="9"/>
        <v>-429.14595229716673</v>
      </c>
      <c r="F53" s="35">
        <f t="shared" si="10"/>
        <v>-3039.1470822971669</v>
      </c>
      <c r="G53" s="36">
        <f>+'DSMRC Recoveries &amp; Sales'!A11</f>
        <v>622813.19999999995</v>
      </c>
      <c r="H53" s="37">
        <f t="shared" si="11"/>
        <v>4.1992687373999145E-3</v>
      </c>
      <c r="I53" s="37">
        <f t="shared" si="12"/>
        <v>4.1999999999999997E-3</v>
      </c>
      <c r="J53" s="21">
        <f t="shared" si="7"/>
        <v>-7.3126260008524874E-7</v>
      </c>
      <c r="L53" s="66"/>
      <c r="M53" s="40"/>
      <c r="N53" s="41"/>
    </row>
    <row r="54" spans="1:14" ht="15" x14ac:dyDescent="0.25">
      <c r="B54" s="42">
        <f t="shared" si="8"/>
        <v>43101</v>
      </c>
      <c r="C54" s="33">
        <f>+-1*'DSMRC Recoveries &amp; Sales'!G12</f>
        <v>7263.97</v>
      </c>
      <c r="D54" s="34">
        <f>'DSMRC Costs'!AA32</f>
        <v>-1220.77</v>
      </c>
      <c r="E54" s="35">
        <f t="shared" si="9"/>
        <v>44.923903845164652</v>
      </c>
      <c r="F54" s="35">
        <f>SUM(C54:E54)</f>
        <v>6088.1239038451649</v>
      </c>
      <c r="G54" s="36">
        <f>+'DSMRC Recoveries &amp; Sales'!A12</f>
        <v>-65197.4</v>
      </c>
      <c r="H54" s="37">
        <f t="shared" si="11"/>
        <v>0.11141502575256068</v>
      </c>
      <c r="I54" s="38">
        <v>-1.29E-2</v>
      </c>
      <c r="J54" s="21">
        <f t="shared" si="7"/>
        <v>0.12431502575256068</v>
      </c>
      <c r="L54" s="66"/>
      <c r="M54" s="40"/>
      <c r="N54" s="41"/>
    </row>
    <row r="55" spans="1:14" ht="15" x14ac:dyDescent="0.25">
      <c r="B55" s="42">
        <f t="shared" si="8"/>
        <v>43132</v>
      </c>
      <c r="C55" s="33">
        <f>+-1*'DSMRC Recoveries &amp; Sales'!G13</f>
        <v>14888.2</v>
      </c>
      <c r="D55" s="34">
        <f>'DSMRC Costs'!AA33</f>
        <v>1014.6658500000001</v>
      </c>
      <c r="E55" s="35">
        <f t="shared" si="9"/>
        <v>654.52907053523916</v>
      </c>
      <c r="F55" s="35">
        <f t="shared" si="10"/>
        <v>16557.39492053524</v>
      </c>
      <c r="G55" s="36">
        <f>+'DSMRC Recoveries &amp; Sales'!A13</f>
        <v>-949908.4</v>
      </c>
      <c r="H55" s="37">
        <f t="shared" si="11"/>
        <v>1.5673300709836864E-2</v>
      </c>
      <c r="I55" s="37">
        <f>+$I$54</f>
        <v>-1.29E-2</v>
      </c>
      <c r="J55" s="21">
        <f t="shared" si="7"/>
        <v>2.8573300709836866E-2</v>
      </c>
      <c r="L55" s="66"/>
      <c r="M55" s="40"/>
      <c r="N55" s="41"/>
    </row>
    <row r="56" spans="1:14" ht="15" x14ac:dyDescent="0.25">
      <c r="B56" s="42">
        <f t="shared" si="8"/>
        <v>43160</v>
      </c>
      <c r="C56" s="33">
        <f>+-1*'DSMRC Recoveries &amp; Sales'!G14</f>
        <v>9217.5</v>
      </c>
      <c r="D56" s="34">
        <f>'DSMRC Costs'!AA34</f>
        <v>0</v>
      </c>
      <c r="E56" s="35">
        <f t="shared" si="9"/>
        <v>404.6960383548768</v>
      </c>
      <c r="F56" s="35">
        <f t="shared" si="10"/>
        <v>9622.1960383548776</v>
      </c>
      <c r="G56" s="36">
        <f>+'DSMRC Recoveries &amp; Sales'!A14</f>
        <v>-587329.4</v>
      </c>
      <c r="H56" s="37">
        <f t="shared" si="11"/>
        <v>1.5693918949059929E-2</v>
      </c>
      <c r="I56" s="37">
        <f t="shared" ref="I56:I61" si="13">+$I$54</f>
        <v>-1.29E-2</v>
      </c>
      <c r="J56" s="21">
        <f t="shared" si="7"/>
        <v>2.8593918949059931E-2</v>
      </c>
      <c r="L56" s="66"/>
      <c r="M56" s="40"/>
      <c r="N56" s="41"/>
    </row>
    <row r="57" spans="1:14" ht="15" x14ac:dyDescent="0.25">
      <c r="B57" s="42">
        <f t="shared" si="8"/>
        <v>43191</v>
      </c>
      <c r="C57" s="33">
        <f>+-1*'DSMRC Recoveries &amp; Sales'!G15</f>
        <v>8758.69</v>
      </c>
      <c r="D57" s="34">
        <f>'DSMRC Costs'!AA35</f>
        <v>584.81478000000004</v>
      </c>
      <c r="E57" s="35">
        <f t="shared" si="9"/>
        <v>384.62431257702559</v>
      </c>
      <c r="F57" s="35">
        <f>SUM(C57:E57)</f>
        <v>9728.1290925770263</v>
      </c>
      <c r="G57" s="36">
        <f>+'DSMRC Recoveries &amp; Sales'!A15</f>
        <v>-558199.6</v>
      </c>
      <c r="H57" s="37">
        <f t="shared" si="11"/>
        <v>1.5690964307391121E-2</v>
      </c>
      <c r="I57" s="37">
        <f t="shared" si="13"/>
        <v>-1.29E-2</v>
      </c>
      <c r="J57" s="21">
        <f>H57-I57</f>
        <v>2.8590964307391123E-2</v>
      </c>
      <c r="L57" s="66"/>
      <c r="M57" s="40"/>
    </row>
    <row r="58" spans="1:14" ht="15" x14ac:dyDescent="0.25">
      <c r="A58" s="68"/>
      <c r="B58" s="42">
        <f t="shared" si="8"/>
        <v>43221</v>
      </c>
      <c r="C58" s="33">
        <f>+-1*'DSMRC Recoveries &amp; Sales'!G16</f>
        <v>3997.76</v>
      </c>
      <c r="D58" s="34">
        <f>'DSMRC Costs'!AA36</f>
        <v>1205.4574299999999</v>
      </c>
      <c r="E58" s="35">
        <f t="shared" si="9"/>
        <v>177.6774043114674</v>
      </c>
      <c r="F58" s="35">
        <f>SUM(C58:E58)</f>
        <v>5380.894834311468</v>
      </c>
      <c r="G58" s="36">
        <f>+'DSMRC Recoveries &amp; Sales'!A16</f>
        <v>-257860.6</v>
      </c>
      <c r="H58" s="37">
        <f t="shared" si="11"/>
        <v>1.5503570533846583E-2</v>
      </c>
      <c r="I58" s="37">
        <f t="shared" si="13"/>
        <v>-1.29E-2</v>
      </c>
      <c r="J58" s="21">
        <f>H58-I58</f>
        <v>2.8403570533846581E-2</v>
      </c>
      <c r="L58" s="66"/>
      <c r="M58" s="40"/>
    </row>
    <row r="59" spans="1:14" ht="15" x14ac:dyDescent="0.25">
      <c r="A59" s="68"/>
      <c r="B59" s="42">
        <f t="shared" si="8"/>
        <v>43252</v>
      </c>
      <c r="C59" s="33">
        <f>+-1*'DSMRC Recoveries &amp; Sales'!G17</f>
        <v>1689.51</v>
      </c>
      <c r="D59" s="34">
        <f>'DSMRC Costs'!AA37</f>
        <v>1128.95</v>
      </c>
      <c r="E59" s="35">
        <f t="shared" si="9"/>
        <v>88.808866532894513</v>
      </c>
      <c r="F59" s="35">
        <f>SUM(C59:E59)</f>
        <v>2907.2688665328947</v>
      </c>
      <c r="G59" s="36">
        <f>+'DSMRC Recoveries &amp; Sales'!A17</f>
        <v>-128887</v>
      </c>
      <c r="H59" s="37">
        <f t="shared" si="11"/>
        <v>1.3108459348111137E-2</v>
      </c>
      <c r="I59" s="37">
        <f t="shared" si="13"/>
        <v>-1.29E-2</v>
      </c>
      <c r="J59" s="21">
        <f>H59-I59</f>
        <v>2.6008459348111135E-2</v>
      </c>
      <c r="L59" s="66"/>
      <c r="M59" s="40"/>
    </row>
    <row r="60" spans="1:14" ht="15" x14ac:dyDescent="0.25">
      <c r="A60" s="68"/>
      <c r="B60" s="42">
        <f t="shared" si="8"/>
        <v>43282</v>
      </c>
      <c r="C60" s="33">
        <f>+-1*'DSMRC Recoveries &amp; Sales'!G18</f>
        <v>1917.78</v>
      </c>
      <c r="D60" s="34">
        <f>'DSMRC Costs'!AA38</f>
        <v>0</v>
      </c>
      <c r="E60" s="35">
        <f t="shared" si="9"/>
        <v>102.72528971525512</v>
      </c>
      <c r="F60" s="35">
        <f>SUM(C60:E60)</f>
        <v>2020.505289715255</v>
      </c>
      <c r="G60" s="36">
        <f>+'DSMRC Recoveries &amp; Sales'!A18</f>
        <v>-149083.70000000001</v>
      </c>
      <c r="H60" s="37">
        <f t="shared" si="11"/>
        <v>1.2863780547437444E-2</v>
      </c>
      <c r="I60" s="37">
        <f t="shared" si="13"/>
        <v>-1.29E-2</v>
      </c>
      <c r="J60" s="21">
        <f>H60-I60</f>
        <v>2.5763780547437443E-2</v>
      </c>
      <c r="L60" s="66"/>
      <c r="M60" s="40"/>
    </row>
    <row r="61" spans="1:14" ht="15" x14ac:dyDescent="0.25">
      <c r="A61" s="68"/>
      <c r="B61" s="42">
        <f t="shared" si="8"/>
        <v>43313</v>
      </c>
      <c r="C61" s="33">
        <f>+-1*'DSMRC Recoveries &amp; Sales'!G19</f>
        <v>1836.37</v>
      </c>
      <c r="D61" s="34">
        <f>'DSMRC Costs'!AA39</f>
        <v>407.01474000000007</v>
      </c>
      <c r="E61" s="35">
        <f>E$62*(G61/G$62)</f>
        <v>97.615956530154463</v>
      </c>
      <c r="F61" s="35">
        <f>SUM(C61:E61)</f>
        <v>2341.0006965301545</v>
      </c>
      <c r="G61" s="36">
        <f>+'DSMRC Recoveries &amp; Sales'!A19</f>
        <v>-141668.6</v>
      </c>
      <c r="H61" s="37">
        <f t="shared" si="11"/>
        <v>1.2962434865594775E-2</v>
      </c>
      <c r="I61" s="37">
        <f t="shared" si="13"/>
        <v>-1.29E-2</v>
      </c>
      <c r="J61" s="21">
        <f>H61-I61</f>
        <v>2.5862434865594773E-2</v>
      </c>
      <c r="L61" s="66"/>
      <c r="M61" s="40"/>
    </row>
    <row r="62" spans="1:14" ht="15" x14ac:dyDescent="0.25">
      <c r="C62" s="44">
        <f>SUM(C50:C61)</f>
        <v>43757.150000000009</v>
      </c>
      <c r="D62" s="69">
        <f>SUM(D50:D61)</f>
        <v>6978.1118799999986</v>
      </c>
      <c r="E62" s="46">
        <f>+'DIA + DLSA Revenue'!C12+'DIA + DLSA Revenue'!C14</f>
        <v>999.85469999999987</v>
      </c>
      <c r="F62" s="44">
        <f>SUM(F48:F61)</f>
        <v>78133.639160000108</v>
      </c>
      <c r="G62" s="47">
        <f>SUM(G50:G61)</f>
        <v>-1451074.4000000001</v>
      </c>
      <c r="L62" s="60"/>
    </row>
    <row r="63" spans="1:14" ht="5.25" customHeight="1" x14ac:dyDescent="0.2">
      <c r="C63" s="40"/>
      <c r="D63" s="40"/>
      <c r="E63" s="40"/>
      <c r="F63" s="40"/>
      <c r="G63" s="20"/>
    </row>
    <row r="64" spans="1:14" x14ac:dyDescent="0.2">
      <c r="A64" s="49" t="str">
        <f>A27</f>
        <v>3-month Average Commercial Paper Rate at September 2018</v>
      </c>
      <c r="B64" s="50"/>
      <c r="C64" s="50"/>
      <c r="E64" s="70">
        <f>E27</f>
        <v>2.1999999999999999E-2</v>
      </c>
      <c r="F64" s="52">
        <f>ROUND(F62*E64,2)</f>
        <v>1718.94</v>
      </c>
      <c r="G64" s="53"/>
    </row>
    <row r="65" spans="1:10" x14ac:dyDescent="0.2">
      <c r="A65" s="18" t="s">
        <v>58</v>
      </c>
      <c r="F65" s="54">
        <f>SUM(F62:F64)</f>
        <v>79852.57916000011</v>
      </c>
      <c r="G65" s="55"/>
    </row>
    <row r="66" spans="1:10" ht="5.25" customHeight="1" x14ac:dyDescent="0.2">
      <c r="G66" s="20"/>
    </row>
    <row r="67" spans="1:10" x14ac:dyDescent="0.2">
      <c r="A67" s="18" t="s">
        <v>27</v>
      </c>
      <c r="D67" s="41"/>
      <c r="E67" s="41"/>
      <c r="F67" s="56">
        <f>G62</f>
        <v>-1451074.4000000001</v>
      </c>
    </row>
    <row r="68" spans="1:10" ht="5.25" customHeight="1" x14ac:dyDescent="0.2">
      <c r="G68" s="20"/>
    </row>
    <row r="69" spans="1:10" x14ac:dyDescent="0.2">
      <c r="A69" s="18" t="s">
        <v>52</v>
      </c>
      <c r="F69" s="57">
        <f>ROUND(F65/F67,4)</f>
        <v>-5.5E-2</v>
      </c>
      <c r="G69" s="58"/>
      <c r="J69" s="59"/>
    </row>
    <row r="70" spans="1:10" ht="5.25" customHeight="1" x14ac:dyDescent="0.2">
      <c r="F70" s="57"/>
      <c r="G70" s="20"/>
    </row>
    <row r="71" spans="1:10" x14ac:dyDescent="0.2">
      <c r="A71" s="18" t="s">
        <v>53</v>
      </c>
      <c r="F71" s="57">
        <f>ROUND((0/F67),4)</f>
        <v>0</v>
      </c>
      <c r="G71" s="57"/>
      <c r="J71" s="59"/>
    </row>
    <row r="72" spans="1:10" ht="5.25" customHeight="1" x14ac:dyDescent="0.2">
      <c r="F72" s="57"/>
      <c r="G72" s="57"/>
    </row>
    <row r="73" spans="1:10" x14ac:dyDescent="0.2">
      <c r="A73" s="18" t="s">
        <v>54</v>
      </c>
      <c r="F73" s="57">
        <f>ROUND(DLSA!E58,4)</f>
        <v>0</v>
      </c>
      <c r="G73" s="57"/>
      <c r="J73" s="59"/>
    </row>
    <row r="74" spans="1:10" ht="5.25" customHeight="1" x14ac:dyDescent="0.2">
      <c r="A74" s="61"/>
      <c r="B74" s="61"/>
      <c r="F74" s="57"/>
      <c r="G74" s="57"/>
    </row>
    <row r="75" spans="1:10" x14ac:dyDescent="0.2">
      <c r="A75" s="18" t="s">
        <v>55</v>
      </c>
      <c r="F75" s="57">
        <f>ROUND(('DIA + DLSA Revenue'!C12/F67),4)</f>
        <v>-5.0000000000000001E-4</v>
      </c>
      <c r="G75" s="57"/>
      <c r="J75" s="59"/>
    </row>
    <row r="76" spans="1:10" ht="5.25" customHeight="1" x14ac:dyDescent="0.2">
      <c r="F76" s="57"/>
      <c r="G76" s="20"/>
    </row>
    <row r="77" spans="1:10" ht="13.5" thickBot="1" x14ac:dyDescent="0.25">
      <c r="A77" s="50" t="s">
        <v>59</v>
      </c>
      <c r="F77" s="62">
        <f>SUM(F69:F76)</f>
        <v>-5.5500000000000001E-2</v>
      </c>
      <c r="J77" s="59"/>
    </row>
    <row r="78" spans="1:10" ht="13.5" thickTop="1" x14ac:dyDescent="0.2"/>
  </sheetData>
  <mergeCells count="2">
    <mergeCell ref="A1:F1"/>
    <mergeCell ref="A3:F3"/>
  </mergeCells>
  <pageMargins left="0.25" right="0.25" top="0.5" bottom="0.5" header="0.3" footer="0.3"/>
  <pageSetup scale="98" fitToHeight="0" orientation="landscape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0"/>
  <sheetViews>
    <sheetView zoomScaleNormal="100" zoomScaleSheetLayoutView="90" workbookViewId="0">
      <selection activeCell="E58" sqref="E58"/>
    </sheetView>
  </sheetViews>
  <sheetFormatPr defaultRowHeight="12.75" x14ac:dyDescent="0.2"/>
  <cols>
    <col min="1" max="1" width="14.5703125" bestFit="1" customWidth="1"/>
    <col min="2" max="2" width="11.28515625" bestFit="1" customWidth="1"/>
    <col min="3" max="3" width="13.85546875" bestFit="1" customWidth="1"/>
    <col min="4" max="4" width="8.42578125" bestFit="1" customWidth="1"/>
    <col min="5" max="5" width="17.7109375" bestFit="1" customWidth="1"/>
    <col min="6" max="6" width="12.140625" bestFit="1" customWidth="1"/>
    <col min="7" max="7" width="11" bestFit="1" customWidth="1"/>
    <col min="8" max="8" width="12.42578125" bestFit="1" customWidth="1"/>
    <col min="9" max="9" width="13.140625" bestFit="1" customWidth="1"/>
    <col min="10" max="10" width="14.140625" bestFit="1" customWidth="1"/>
    <col min="11" max="11" width="13.140625" bestFit="1" customWidth="1"/>
  </cols>
  <sheetData>
    <row r="5" spans="1:11" ht="15" x14ac:dyDescent="0.25">
      <c r="A5" s="71"/>
      <c r="B5" s="71"/>
      <c r="C5" s="71"/>
      <c r="D5" s="71"/>
      <c r="E5" s="72" t="s">
        <v>60</v>
      </c>
      <c r="F5" s="73" t="s">
        <v>61</v>
      </c>
      <c r="G5" s="74"/>
      <c r="H5" s="73" t="s">
        <v>62</v>
      </c>
      <c r="I5" s="74"/>
      <c r="J5" s="75" t="s">
        <v>63</v>
      </c>
      <c r="K5" s="76"/>
    </row>
    <row r="6" spans="1:11" ht="15" x14ac:dyDescent="0.25">
      <c r="A6" s="218" t="s">
        <v>64</v>
      </c>
      <c r="B6" s="218"/>
      <c r="C6" s="218" t="s">
        <v>65</v>
      </c>
      <c r="D6" s="219"/>
      <c r="E6" s="72" t="s">
        <v>66</v>
      </c>
      <c r="F6" s="77" t="s">
        <v>67</v>
      </c>
      <c r="G6" s="77" t="s">
        <v>68</v>
      </c>
      <c r="H6" s="77" t="s">
        <v>67</v>
      </c>
      <c r="I6" s="77" t="s">
        <v>68</v>
      </c>
      <c r="J6" s="78" t="s">
        <v>67</v>
      </c>
      <c r="K6" s="79" t="s">
        <v>68</v>
      </c>
    </row>
    <row r="7" spans="1:11" ht="15" x14ac:dyDescent="0.25">
      <c r="A7" s="80" t="s">
        <v>69</v>
      </c>
      <c r="B7" s="80" t="s">
        <v>42</v>
      </c>
      <c r="C7" s="80" t="s">
        <v>69</v>
      </c>
      <c r="D7" s="80" t="s">
        <v>42</v>
      </c>
      <c r="E7" s="72" t="s">
        <v>70</v>
      </c>
      <c r="F7" s="81" t="s">
        <v>71</v>
      </c>
      <c r="G7" s="81" t="s">
        <v>72</v>
      </c>
      <c r="H7" s="81" t="s">
        <v>71</v>
      </c>
      <c r="I7" s="81" t="s">
        <v>72</v>
      </c>
      <c r="J7" s="82" t="s">
        <v>71</v>
      </c>
      <c r="K7" s="83" t="s">
        <v>72</v>
      </c>
    </row>
    <row r="8" spans="1:11" ht="15" x14ac:dyDescent="0.25">
      <c r="A8" s="84">
        <f>(F8/10)</f>
        <v>202689.9</v>
      </c>
      <c r="B8" s="85">
        <f>-G8/F8</f>
        <v>-4.1752450418101737E-4</v>
      </c>
      <c r="C8" s="86">
        <f>H8/10</f>
        <v>176673.8</v>
      </c>
      <c r="D8" s="85">
        <f>I8/H8</f>
        <v>1.2401606803046066E-2</v>
      </c>
      <c r="E8" s="73" t="s">
        <v>73</v>
      </c>
      <c r="F8" s="87">
        <v>2026899</v>
      </c>
      <c r="G8" s="88">
        <v>846.28</v>
      </c>
      <c r="H8" s="87">
        <v>1766738</v>
      </c>
      <c r="I8" s="88">
        <v>21910.39</v>
      </c>
      <c r="J8" s="89">
        <v>3793637</v>
      </c>
      <c r="K8" s="90">
        <v>22756.67</v>
      </c>
    </row>
    <row r="9" spans="1:11" ht="15" x14ac:dyDescent="0.25">
      <c r="A9" s="84">
        <f t="shared" ref="A9:A19" si="0">(F9/10)</f>
        <v>192347.8</v>
      </c>
      <c r="B9" s="85">
        <f t="shared" ref="B9:B19" si="1">-G9/F9</f>
        <v>-4.168386641282094E-4</v>
      </c>
      <c r="C9" s="86">
        <f t="shared" ref="C9:C20" si="2">H9/10</f>
        <v>172259</v>
      </c>
      <c r="D9" s="85">
        <f t="shared" ref="D9:D19" si="3">I9/H9</f>
        <v>1.2394272577920458E-2</v>
      </c>
      <c r="E9" s="73" t="s">
        <v>74</v>
      </c>
      <c r="F9" s="87">
        <v>1923478</v>
      </c>
      <c r="G9" s="88">
        <v>801.78</v>
      </c>
      <c r="H9" s="87">
        <v>1722590</v>
      </c>
      <c r="I9" s="88">
        <v>21350.25</v>
      </c>
      <c r="J9" s="89">
        <v>3646068</v>
      </c>
      <c r="K9" s="90">
        <v>22152.03</v>
      </c>
    </row>
    <row r="10" spans="1:11" ht="15" x14ac:dyDescent="0.25">
      <c r="A10" s="84">
        <f t="shared" si="0"/>
        <v>369209.4</v>
      </c>
      <c r="B10" s="85">
        <f t="shared" si="1"/>
        <v>-4.1960199279866654E-4</v>
      </c>
      <c r="C10" s="86">
        <f t="shared" si="2"/>
        <v>705567.1</v>
      </c>
      <c r="D10" s="85">
        <f t="shared" si="3"/>
        <v>1.2448054905054389E-2</v>
      </c>
      <c r="E10" s="73" t="s">
        <v>75</v>
      </c>
      <c r="F10" s="87">
        <v>3692094</v>
      </c>
      <c r="G10" s="88">
        <v>1549.21</v>
      </c>
      <c r="H10" s="87">
        <v>7055671</v>
      </c>
      <c r="I10" s="88">
        <v>87829.38</v>
      </c>
      <c r="J10" s="89">
        <v>10747765</v>
      </c>
      <c r="K10" s="90">
        <v>89378.59</v>
      </c>
    </row>
    <row r="11" spans="1:11" ht="15" x14ac:dyDescent="0.25">
      <c r="A11" s="84">
        <f t="shared" si="0"/>
        <v>622813.19999999995</v>
      </c>
      <c r="B11" s="85">
        <f t="shared" si="1"/>
        <v>-4.1992687373999143E-4</v>
      </c>
      <c r="C11" s="86">
        <f t="shared" si="2"/>
        <v>1336541.6000000001</v>
      </c>
      <c r="D11" s="85">
        <f t="shared" si="3"/>
        <v>1.2450008290052477E-2</v>
      </c>
      <c r="E11" s="73" t="s">
        <v>76</v>
      </c>
      <c r="F11" s="87">
        <v>6228132</v>
      </c>
      <c r="G11" s="88">
        <v>2615.36</v>
      </c>
      <c r="H11" s="87">
        <v>13365416</v>
      </c>
      <c r="I11" s="88">
        <v>166399.54</v>
      </c>
      <c r="J11" s="89">
        <v>19593548</v>
      </c>
      <c r="K11" s="90">
        <v>169014.9</v>
      </c>
    </row>
    <row r="12" spans="1:11" ht="15" x14ac:dyDescent="0.25">
      <c r="A12" s="84">
        <f>(F12/10)</f>
        <v>-65197.4</v>
      </c>
      <c r="B12" s="85">
        <f>-G12/F12</f>
        <v>-1.114150257525607E-2</v>
      </c>
      <c r="C12" s="86">
        <f t="shared" si="2"/>
        <v>2491999.6</v>
      </c>
      <c r="D12" s="85">
        <f t="shared" si="3"/>
        <v>1.2013509552730265E-2</v>
      </c>
      <c r="E12" s="73" t="s">
        <v>77</v>
      </c>
      <c r="F12" s="87">
        <v>-651974</v>
      </c>
      <c r="G12" s="88">
        <v>-7263.97</v>
      </c>
      <c r="H12" s="87">
        <v>24919996</v>
      </c>
      <c r="I12" s="88">
        <v>299376.61</v>
      </c>
      <c r="J12" s="89">
        <v>24268022</v>
      </c>
      <c r="K12" s="90">
        <v>292112.64000000001</v>
      </c>
    </row>
    <row r="13" spans="1:11" ht="15" x14ac:dyDescent="0.25">
      <c r="A13" s="84">
        <f t="shared" si="0"/>
        <v>-949908.4</v>
      </c>
      <c r="B13" s="85">
        <f t="shared" si="1"/>
        <v>-1.5673300709836864E-3</v>
      </c>
      <c r="C13" s="86">
        <f t="shared" si="2"/>
        <v>2023312.4</v>
      </c>
      <c r="D13" s="85">
        <f t="shared" si="3"/>
        <v>1.1608988804694716E-2</v>
      </c>
      <c r="E13" s="73" t="s">
        <v>78</v>
      </c>
      <c r="F13" s="87">
        <v>-9499084</v>
      </c>
      <c r="G13" s="88">
        <v>-14888.2</v>
      </c>
      <c r="H13" s="87">
        <v>20233124</v>
      </c>
      <c r="I13" s="88">
        <v>234886.11</v>
      </c>
      <c r="J13" s="89">
        <v>10734040</v>
      </c>
      <c r="K13" s="90">
        <v>219997.91</v>
      </c>
    </row>
    <row r="14" spans="1:11" ht="15" x14ac:dyDescent="0.25">
      <c r="A14" s="84">
        <f t="shared" si="0"/>
        <v>-587329.4</v>
      </c>
      <c r="B14" s="85">
        <f t="shared" si="1"/>
        <v>-1.5693918949059931E-3</v>
      </c>
      <c r="C14" s="86">
        <f t="shared" si="2"/>
        <v>1259105.3</v>
      </c>
      <c r="D14" s="85">
        <f t="shared" si="3"/>
        <v>1.1608925798342681E-2</v>
      </c>
      <c r="E14" s="73" t="s">
        <v>79</v>
      </c>
      <c r="F14" s="87">
        <v>-5873294</v>
      </c>
      <c r="G14" s="88">
        <v>-9217.5</v>
      </c>
      <c r="H14" s="87">
        <v>12591053</v>
      </c>
      <c r="I14" s="88">
        <v>146168.6</v>
      </c>
      <c r="J14" s="89">
        <v>6717759</v>
      </c>
      <c r="K14" s="90">
        <v>136951.1</v>
      </c>
    </row>
    <row r="15" spans="1:11" ht="15" x14ac:dyDescent="0.25">
      <c r="A15" s="84">
        <f t="shared" si="0"/>
        <v>-558199.6</v>
      </c>
      <c r="B15" s="85">
        <f t="shared" si="1"/>
        <v>-1.569096430739112E-3</v>
      </c>
      <c r="C15" s="86">
        <f t="shared" si="2"/>
        <v>1222617.6000000001</v>
      </c>
      <c r="D15" s="85">
        <f t="shared" si="3"/>
        <v>1.1608938068616058E-2</v>
      </c>
      <c r="E15" s="73" t="s">
        <v>80</v>
      </c>
      <c r="F15" s="87">
        <v>-5581996</v>
      </c>
      <c r="G15" s="88">
        <v>-8758.69</v>
      </c>
      <c r="H15" s="87">
        <v>12226176</v>
      </c>
      <c r="I15" s="88">
        <v>141932.92000000001</v>
      </c>
      <c r="J15" s="89">
        <v>6644180</v>
      </c>
      <c r="K15" s="90">
        <v>133174.23000000001</v>
      </c>
    </row>
    <row r="16" spans="1:11" ht="15" x14ac:dyDescent="0.25">
      <c r="A16" s="84">
        <f t="shared" si="0"/>
        <v>-257860.6</v>
      </c>
      <c r="B16" s="85">
        <f t="shared" si="1"/>
        <v>-1.5503570533846583E-3</v>
      </c>
      <c r="C16" s="86">
        <f t="shared" si="2"/>
        <v>472621.6</v>
      </c>
      <c r="D16" s="85">
        <f t="shared" si="3"/>
        <v>1.0396289547494232E-2</v>
      </c>
      <c r="E16" s="73" t="s">
        <v>81</v>
      </c>
      <c r="F16" s="87">
        <v>-2578606</v>
      </c>
      <c r="G16" s="88">
        <v>-3997.76</v>
      </c>
      <c r="H16" s="87">
        <v>4726216</v>
      </c>
      <c r="I16" s="88">
        <v>49135.11</v>
      </c>
      <c r="J16" s="89">
        <v>2147610</v>
      </c>
      <c r="K16" s="90">
        <v>45137.35</v>
      </c>
    </row>
    <row r="17" spans="1:11" ht="15" x14ac:dyDescent="0.25">
      <c r="A17" s="84">
        <f t="shared" si="0"/>
        <v>-128887</v>
      </c>
      <c r="B17" s="85">
        <f t="shared" si="1"/>
        <v>-1.3108459348111137E-3</v>
      </c>
      <c r="C17" s="86">
        <f t="shared" si="2"/>
        <v>153291.20000000001</v>
      </c>
      <c r="D17" s="85">
        <f t="shared" si="3"/>
        <v>1.3897470957236946E-3</v>
      </c>
      <c r="E17" s="73" t="s">
        <v>82</v>
      </c>
      <c r="F17" s="87">
        <v>-1288870</v>
      </c>
      <c r="G17" s="88">
        <v>-1689.51</v>
      </c>
      <c r="H17" s="87">
        <v>1532912</v>
      </c>
      <c r="I17" s="88">
        <v>2130.36</v>
      </c>
      <c r="J17" s="89">
        <v>244042</v>
      </c>
      <c r="K17" s="90">
        <v>440.85</v>
      </c>
    </row>
    <row r="18" spans="1:11" ht="15" x14ac:dyDescent="0.25">
      <c r="A18" s="84">
        <f t="shared" si="0"/>
        <v>-149083.70000000001</v>
      </c>
      <c r="B18" s="85">
        <f t="shared" si="1"/>
        <v>-1.2863780547437446E-3</v>
      </c>
      <c r="C18" s="86">
        <f t="shared" si="2"/>
        <v>165257.60000000001</v>
      </c>
      <c r="D18" s="85">
        <f t="shared" si="3"/>
        <v>1.5143448773309064E-3</v>
      </c>
      <c r="E18" s="73" t="s">
        <v>83</v>
      </c>
      <c r="F18" s="87">
        <v>-1490837</v>
      </c>
      <c r="G18" s="88">
        <v>-1917.78</v>
      </c>
      <c r="H18" s="87">
        <v>1652576</v>
      </c>
      <c r="I18" s="88">
        <v>2502.5700000000002</v>
      </c>
      <c r="J18" s="89">
        <v>161738</v>
      </c>
      <c r="K18" s="90">
        <v>584.79</v>
      </c>
    </row>
    <row r="19" spans="1:11" ht="15" x14ac:dyDescent="0.25">
      <c r="A19" s="84">
        <f t="shared" si="0"/>
        <v>-141668.6</v>
      </c>
      <c r="B19" s="85">
        <f t="shared" si="1"/>
        <v>-1.2962434865594775E-3</v>
      </c>
      <c r="C19" s="86">
        <f t="shared" si="2"/>
        <v>138814.29999999999</v>
      </c>
      <c r="D19" s="85">
        <f t="shared" si="3"/>
        <v>1.5916948037774205E-3</v>
      </c>
      <c r="E19" s="73" t="s">
        <v>84</v>
      </c>
      <c r="F19" s="87">
        <v>-1416686</v>
      </c>
      <c r="G19" s="88">
        <v>-1836.37</v>
      </c>
      <c r="H19" s="87">
        <v>1388143</v>
      </c>
      <c r="I19" s="88">
        <v>2209.5</v>
      </c>
      <c r="J19" s="89">
        <v>-28543</v>
      </c>
      <c r="K19" s="90">
        <v>373.13</v>
      </c>
    </row>
    <row r="20" spans="1:11" ht="15" x14ac:dyDescent="0.25">
      <c r="A20" s="84">
        <f>SUM(A8:A19)</f>
        <v>-1451074.4000000001</v>
      </c>
      <c r="B20" s="91"/>
      <c r="C20" s="86">
        <f t="shared" si="2"/>
        <v>10318061</v>
      </c>
      <c r="D20" s="71"/>
      <c r="E20" s="92" t="s">
        <v>63</v>
      </c>
      <c r="F20" s="93">
        <v>-14510745</v>
      </c>
      <c r="G20" s="94">
        <v>-43757.15</v>
      </c>
      <c r="H20" s="93">
        <v>103180610</v>
      </c>
      <c r="I20" s="94">
        <v>1175831.3400000001</v>
      </c>
      <c r="J20" s="93">
        <v>88669865</v>
      </c>
      <c r="K20" s="95">
        <v>1132074.19</v>
      </c>
    </row>
  </sheetData>
  <mergeCells count="2">
    <mergeCell ref="A6:B6"/>
    <mergeCell ref="C6:D6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6"/>
  <sheetViews>
    <sheetView topLeftCell="L1" zoomScale="85" zoomScaleNormal="85" zoomScaleSheetLayoutView="100" workbookViewId="0">
      <selection activeCell="V32" sqref="V32"/>
    </sheetView>
  </sheetViews>
  <sheetFormatPr defaultRowHeight="12.75" x14ac:dyDescent="0.2"/>
  <cols>
    <col min="1" max="1" width="20.28515625" customWidth="1"/>
    <col min="2" max="2" width="20.42578125" bestFit="1" customWidth="1"/>
    <col min="3" max="3" width="20.140625" customWidth="1"/>
    <col min="4" max="4" width="12.5703125" bestFit="1" customWidth="1"/>
    <col min="5" max="5" width="20.85546875" bestFit="1" customWidth="1"/>
    <col min="6" max="6" width="14.85546875" customWidth="1"/>
    <col min="7" max="7" width="14.85546875" bestFit="1" customWidth="1"/>
    <col min="8" max="8" width="18.28515625" bestFit="1" customWidth="1"/>
    <col min="9" max="9" width="16.28515625" bestFit="1" customWidth="1"/>
    <col min="10" max="10" width="19.85546875" bestFit="1" customWidth="1"/>
    <col min="11" max="11" width="17.7109375" bestFit="1" customWidth="1"/>
    <col min="12" max="12" width="11.5703125" bestFit="1" customWidth="1"/>
    <col min="13" max="13" width="16.28515625" bestFit="1" customWidth="1"/>
    <col min="14" max="14" width="19.85546875" bestFit="1" customWidth="1"/>
    <col min="15" max="15" width="14.85546875" bestFit="1" customWidth="1"/>
    <col min="16" max="16" width="17.5703125" bestFit="1" customWidth="1"/>
    <col min="17" max="17" width="10.28515625" customWidth="1"/>
    <col min="18" max="18" width="14.85546875" bestFit="1" customWidth="1"/>
    <col min="19" max="19" width="15.5703125" bestFit="1" customWidth="1"/>
    <col min="20" max="20" width="15.140625" bestFit="1" customWidth="1"/>
    <col min="21" max="21" width="17.7109375" bestFit="1" customWidth="1"/>
    <col min="22" max="22" width="14.140625" bestFit="1" customWidth="1"/>
    <col min="23" max="23" width="14.42578125" bestFit="1" customWidth="1"/>
    <col min="24" max="25" width="14.85546875" bestFit="1" customWidth="1"/>
    <col min="26" max="26" width="14" bestFit="1" customWidth="1"/>
    <col min="27" max="27" width="15.140625" bestFit="1" customWidth="1"/>
    <col min="29" max="29" width="10.85546875" bestFit="1" customWidth="1"/>
  </cols>
  <sheetData>
    <row r="1" spans="1:29" ht="21" thickBot="1" x14ac:dyDescent="0.25">
      <c r="A1" s="221" t="s">
        <v>85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96"/>
    </row>
    <row r="2" spans="1:29" ht="15.75" x14ac:dyDescent="0.25">
      <c r="A2" s="222" t="s">
        <v>86</v>
      </c>
      <c r="B2" s="223"/>
      <c r="C2" s="223"/>
      <c r="D2" s="224"/>
      <c r="E2" s="225" t="s">
        <v>87</v>
      </c>
      <c r="F2" s="226"/>
      <c r="G2" s="226"/>
      <c r="H2" s="226"/>
      <c r="I2" s="226"/>
      <c r="J2" s="227"/>
      <c r="K2" s="223" t="s">
        <v>88</v>
      </c>
      <c r="L2" s="223"/>
      <c r="M2" s="223"/>
      <c r="N2" s="228" t="s">
        <v>89</v>
      </c>
      <c r="O2" s="229"/>
      <c r="P2" s="225" t="s">
        <v>90</v>
      </c>
      <c r="Q2" s="226"/>
      <c r="R2" s="226"/>
      <c r="S2" s="226"/>
      <c r="T2" s="226"/>
      <c r="U2" s="227"/>
      <c r="V2" s="97"/>
      <c r="W2" s="97"/>
      <c r="X2" s="97"/>
      <c r="Y2" s="97"/>
      <c r="Z2" s="97"/>
      <c r="AA2" s="97"/>
      <c r="AB2" s="97"/>
      <c r="AC2" s="97"/>
    </row>
    <row r="3" spans="1:29" ht="77.25" thickBot="1" x14ac:dyDescent="0.25">
      <c r="A3" s="98" t="s">
        <v>91</v>
      </c>
      <c r="B3" s="99" t="s">
        <v>92</v>
      </c>
      <c r="C3" s="100" t="s">
        <v>16</v>
      </c>
      <c r="D3" s="101" t="s">
        <v>93</v>
      </c>
      <c r="E3" s="102" t="s">
        <v>94</v>
      </c>
      <c r="F3" s="103" t="s">
        <v>95</v>
      </c>
      <c r="G3" s="104" t="s">
        <v>16</v>
      </c>
      <c r="H3" s="104" t="s">
        <v>96</v>
      </c>
      <c r="I3" s="103" t="s">
        <v>97</v>
      </c>
      <c r="J3" s="105" t="s">
        <v>89</v>
      </c>
      <c r="K3" s="106" t="s">
        <v>98</v>
      </c>
      <c r="L3" s="103" t="s">
        <v>99</v>
      </c>
      <c r="M3" s="107" t="s">
        <v>92</v>
      </c>
      <c r="N3" s="108" t="s">
        <v>100</v>
      </c>
      <c r="O3" s="109" t="s">
        <v>16</v>
      </c>
      <c r="P3" s="102" t="s">
        <v>94</v>
      </c>
      <c r="Q3" s="103" t="s">
        <v>95</v>
      </c>
      <c r="R3" s="104" t="s">
        <v>16</v>
      </c>
      <c r="S3" s="104" t="s">
        <v>96</v>
      </c>
      <c r="T3" s="103" t="s">
        <v>97</v>
      </c>
      <c r="U3" s="105" t="s">
        <v>89</v>
      </c>
      <c r="V3" s="110" t="s">
        <v>101</v>
      </c>
      <c r="W3" s="110" t="s">
        <v>102</v>
      </c>
      <c r="X3" s="111" t="s">
        <v>103</v>
      </c>
      <c r="Y3" s="111" t="s">
        <v>104</v>
      </c>
      <c r="Z3" s="111" t="s">
        <v>48</v>
      </c>
      <c r="AA3" s="111" t="s">
        <v>105</v>
      </c>
      <c r="AB3" s="4"/>
      <c r="AC3" s="4"/>
    </row>
    <row r="4" spans="1:29" ht="13.5" hidden="1" thickBot="1" x14ac:dyDescent="0.25">
      <c r="A4" s="112">
        <v>42370</v>
      </c>
      <c r="B4" s="113">
        <v>9071.75</v>
      </c>
      <c r="C4" s="114">
        <v>758.69999999999993</v>
      </c>
      <c r="D4" s="115">
        <v>3</v>
      </c>
      <c r="E4" s="116">
        <v>54992.798699999999</v>
      </c>
      <c r="F4" s="117">
        <v>196</v>
      </c>
      <c r="G4" s="117">
        <v>16102.916835133039</v>
      </c>
      <c r="H4" s="113">
        <v>134584.83874000004</v>
      </c>
      <c r="I4" s="118">
        <v>0</v>
      </c>
      <c r="J4" s="119">
        <v>189577.63744000002</v>
      </c>
      <c r="K4" s="120">
        <v>1</v>
      </c>
      <c r="L4" s="121">
        <v>90</v>
      </c>
      <c r="M4" s="119">
        <v>0</v>
      </c>
      <c r="N4" s="116">
        <v>214217.28870000003</v>
      </c>
      <c r="O4" s="115">
        <v>17123.422320707599</v>
      </c>
      <c r="P4" s="116">
        <v>780</v>
      </c>
      <c r="Q4" s="117">
        <v>3</v>
      </c>
      <c r="R4" s="117">
        <v>261.80548557456098</v>
      </c>
      <c r="S4" s="113">
        <v>14787.901260000002</v>
      </c>
      <c r="T4" s="113">
        <v>0</v>
      </c>
      <c r="U4" s="119">
        <v>15567.901260000002</v>
      </c>
      <c r="V4" s="122">
        <v>10668.439800975608</v>
      </c>
      <c r="W4" s="122">
        <f>R4</f>
        <v>261.80548557456098</v>
      </c>
      <c r="X4" s="122">
        <f>N4-U4-M4</f>
        <v>198649.38744000002</v>
      </c>
      <c r="Y4" s="122">
        <f>N4-U4</f>
        <v>198649.38744000002</v>
      </c>
      <c r="Z4" s="122">
        <f>X4-Y4</f>
        <v>0</v>
      </c>
      <c r="AA4" s="122">
        <f>U4</f>
        <v>15567.901260000002</v>
      </c>
      <c r="AC4" s="123"/>
    </row>
    <row r="5" spans="1:29" ht="13.5" hidden="1" thickBot="1" x14ac:dyDescent="0.25">
      <c r="A5" s="112">
        <v>42401</v>
      </c>
      <c r="B5" s="124">
        <v>3870.69</v>
      </c>
      <c r="C5" s="125">
        <v>252.89999999999998</v>
      </c>
      <c r="D5" s="126">
        <v>1</v>
      </c>
      <c r="E5" s="127">
        <v>32504.4496</v>
      </c>
      <c r="F5" s="128">
        <v>119</v>
      </c>
      <c r="G5" s="128">
        <v>9445.2015573505159</v>
      </c>
      <c r="H5" s="124">
        <v>1385.7380000000001</v>
      </c>
      <c r="I5" s="129">
        <v>4040.9850000000001</v>
      </c>
      <c r="J5" s="130">
        <v>37931.172599999998</v>
      </c>
      <c r="K5" s="131">
        <v>1</v>
      </c>
      <c r="L5" s="132">
        <v>125</v>
      </c>
      <c r="M5" s="133">
        <v>0</v>
      </c>
      <c r="N5" s="127">
        <v>43665.389600000002</v>
      </c>
      <c r="O5" s="126">
        <v>9965.3521083829983</v>
      </c>
      <c r="P5" s="127">
        <v>1267.25</v>
      </c>
      <c r="Q5" s="128">
        <v>4</v>
      </c>
      <c r="R5" s="128">
        <v>267.25055103248343</v>
      </c>
      <c r="S5" s="124">
        <v>152.262</v>
      </c>
      <c r="T5" s="124">
        <v>444.01500000000004</v>
      </c>
      <c r="U5" s="130">
        <v>1863.527</v>
      </c>
      <c r="V5" s="122">
        <v>11808.235921869253</v>
      </c>
      <c r="W5" s="122">
        <f t="shared" ref="W5:W15" si="0">R5</f>
        <v>267.25055103248343</v>
      </c>
      <c r="X5" s="122">
        <f t="shared" ref="X5:X15" si="1">N5-U5-M5</f>
        <v>41801.8626</v>
      </c>
      <c r="Y5" s="122">
        <v>49459.961499999998</v>
      </c>
      <c r="Z5" s="122">
        <f t="shared" ref="Z5:Z15" si="2">X5-Y5</f>
        <v>-7658.0988999999972</v>
      </c>
      <c r="AA5" s="122">
        <f t="shared" ref="AA5:AA15" si="3">U5</f>
        <v>1863.527</v>
      </c>
      <c r="AC5" s="123"/>
    </row>
    <row r="6" spans="1:29" ht="13.5" hidden="1" thickBot="1" x14ac:dyDescent="0.25">
      <c r="A6" s="134">
        <v>42430</v>
      </c>
      <c r="B6" s="124">
        <v>18529.349999999999</v>
      </c>
      <c r="C6" s="125">
        <v>1770.2999999999997</v>
      </c>
      <c r="D6" s="126">
        <v>7</v>
      </c>
      <c r="E6" s="127">
        <v>31641.6698</v>
      </c>
      <c r="F6" s="128">
        <v>109</v>
      </c>
      <c r="G6" s="128">
        <v>9010.2743189657122</v>
      </c>
      <c r="H6" s="124">
        <v>2193.34935</v>
      </c>
      <c r="I6" s="129">
        <v>0</v>
      </c>
      <c r="J6" s="130">
        <v>33835.01915</v>
      </c>
      <c r="K6" s="131">
        <v>2</v>
      </c>
      <c r="L6" s="132">
        <v>185</v>
      </c>
      <c r="M6" s="133">
        <v>0</v>
      </c>
      <c r="N6" s="127">
        <v>57514.6198</v>
      </c>
      <c r="O6" s="126">
        <v>12444.362547807941</v>
      </c>
      <c r="P6" s="127">
        <v>4909.25</v>
      </c>
      <c r="Q6" s="128">
        <v>25</v>
      </c>
      <c r="R6" s="128">
        <v>1663.7882288422302</v>
      </c>
      <c r="S6" s="124">
        <v>241.00065000000001</v>
      </c>
      <c r="T6" s="124">
        <v>0</v>
      </c>
      <c r="U6" s="130">
        <v>5150.25065</v>
      </c>
      <c r="V6" s="122">
        <v>14126.446166547725</v>
      </c>
      <c r="W6" s="122">
        <f t="shared" si="0"/>
        <v>1663.7882288422302</v>
      </c>
      <c r="X6" s="122">
        <f t="shared" si="1"/>
        <v>52364.369149999999</v>
      </c>
      <c r="Y6" s="122">
        <v>65773.089600000007</v>
      </c>
      <c r="Z6" s="122">
        <f t="shared" si="2"/>
        <v>-13408.720450000008</v>
      </c>
      <c r="AA6" s="122">
        <f t="shared" si="3"/>
        <v>5150.25065</v>
      </c>
      <c r="AC6" s="123"/>
    </row>
    <row r="7" spans="1:29" ht="13.5" hidden="1" thickBot="1" x14ac:dyDescent="0.25">
      <c r="A7" s="134">
        <v>42461</v>
      </c>
      <c r="B7" s="124">
        <v>5048.6399999999994</v>
      </c>
      <c r="C7" s="125">
        <v>758.69999999999993</v>
      </c>
      <c r="D7" s="126">
        <v>3</v>
      </c>
      <c r="E7" s="127">
        <v>40829.479800000001</v>
      </c>
      <c r="F7" s="128">
        <v>165</v>
      </c>
      <c r="G7" s="128">
        <v>12335.594320926069</v>
      </c>
      <c r="H7" s="124">
        <v>518.07500000000005</v>
      </c>
      <c r="I7" s="129">
        <v>0</v>
      </c>
      <c r="J7" s="130">
        <v>41347.554799999998</v>
      </c>
      <c r="K7" s="131">
        <v>2</v>
      </c>
      <c r="L7" s="131">
        <v>44</v>
      </c>
      <c r="M7" s="130">
        <v>0</v>
      </c>
      <c r="N7" s="127">
        <v>49081.1198</v>
      </c>
      <c r="O7" s="126">
        <v>13652.606171886893</v>
      </c>
      <c r="P7" s="127">
        <v>2628</v>
      </c>
      <c r="Q7" s="128">
        <v>7</v>
      </c>
      <c r="R7" s="128">
        <v>558.31185096082322</v>
      </c>
      <c r="S7" s="124">
        <v>56.925000000000004</v>
      </c>
      <c r="T7" s="124">
        <v>0</v>
      </c>
      <c r="U7" s="130">
        <v>2684.9250000000002</v>
      </c>
      <c r="V7" s="122">
        <v>17044.19981621355</v>
      </c>
      <c r="W7" s="122">
        <f t="shared" si="0"/>
        <v>558.31185096082322</v>
      </c>
      <c r="X7" s="122">
        <f t="shared" si="1"/>
        <v>46396.194799999997</v>
      </c>
      <c r="Y7" s="122">
        <v>64356.519800000009</v>
      </c>
      <c r="Z7" s="122">
        <f t="shared" si="2"/>
        <v>-17960.325000000012</v>
      </c>
      <c r="AA7" s="122">
        <f t="shared" si="3"/>
        <v>2684.9250000000002</v>
      </c>
      <c r="AC7" s="123"/>
    </row>
    <row r="8" spans="1:29" ht="13.5" hidden="1" thickBot="1" x14ac:dyDescent="0.25">
      <c r="A8" s="134">
        <v>42491</v>
      </c>
      <c r="B8" s="124">
        <v>13093.22</v>
      </c>
      <c r="C8" s="125">
        <v>1264.5</v>
      </c>
      <c r="D8" s="126">
        <v>5</v>
      </c>
      <c r="E8" s="127">
        <v>41904.9899</v>
      </c>
      <c r="F8" s="128">
        <v>167</v>
      </c>
      <c r="G8" s="128">
        <v>9816.1710348697034</v>
      </c>
      <c r="H8" s="124">
        <v>1126.3400999999999</v>
      </c>
      <c r="I8" s="129">
        <v>4138.5182500000001</v>
      </c>
      <c r="J8" s="130">
        <v>47169.848250000003</v>
      </c>
      <c r="K8" s="131">
        <v>0</v>
      </c>
      <c r="L8" s="132">
        <v>0</v>
      </c>
      <c r="M8" s="130">
        <v>0</v>
      </c>
      <c r="N8" s="127">
        <v>61253.059900000007</v>
      </c>
      <c r="O8" s="126">
        <v>11145.258933498068</v>
      </c>
      <c r="P8" s="127">
        <v>411.5</v>
      </c>
      <c r="Q8" s="128">
        <v>1</v>
      </c>
      <c r="R8" s="128">
        <v>64.587898628364428</v>
      </c>
      <c r="S8" s="124">
        <v>123.7599</v>
      </c>
      <c r="T8" s="124">
        <v>454.73175000000003</v>
      </c>
      <c r="U8" s="130">
        <v>989.99165000000005</v>
      </c>
      <c r="V8" s="122">
        <v>9920.1050033440588</v>
      </c>
      <c r="W8" s="122">
        <f t="shared" si="0"/>
        <v>64.587898628364428</v>
      </c>
      <c r="X8" s="122">
        <f t="shared" si="1"/>
        <v>60263.068250000004</v>
      </c>
      <c r="Y8" s="122">
        <v>49497.282500000001</v>
      </c>
      <c r="Z8" s="122">
        <f t="shared" si="2"/>
        <v>10765.785750000003</v>
      </c>
      <c r="AA8" s="122">
        <f t="shared" si="3"/>
        <v>989.99165000000005</v>
      </c>
      <c r="AC8" s="123"/>
    </row>
    <row r="9" spans="1:29" ht="13.5" hidden="1" thickBot="1" x14ac:dyDescent="0.25">
      <c r="A9" s="134">
        <v>42522</v>
      </c>
      <c r="B9" s="124">
        <v>11529.17</v>
      </c>
      <c r="C9" s="125">
        <v>1011.5999999999999</v>
      </c>
      <c r="D9" s="126">
        <v>4</v>
      </c>
      <c r="E9" s="127">
        <v>31862</v>
      </c>
      <c r="F9" s="128">
        <v>114</v>
      </c>
      <c r="G9" s="128">
        <v>7721.4470976185657</v>
      </c>
      <c r="H9" s="124">
        <v>3790.2997700000005</v>
      </c>
      <c r="I9" s="129">
        <v>0</v>
      </c>
      <c r="J9" s="130">
        <v>35652.299769999998</v>
      </c>
      <c r="K9" s="131">
        <v>0</v>
      </c>
      <c r="L9" s="132">
        <v>0</v>
      </c>
      <c r="M9" s="130">
        <v>0</v>
      </c>
      <c r="N9" s="127">
        <v>48428.439999999995</v>
      </c>
      <c r="O9" s="126">
        <v>8843.2675773539631</v>
      </c>
      <c r="P9" s="127">
        <v>830.5</v>
      </c>
      <c r="Q9" s="128">
        <v>3</v>
      </c>
      <c r="R9" s="128">
        <v>110.22047973539736</v>
      </c>
      <c r="S9" s="124">
        <v>416.47023000000007</v>
      </c>
      <c r="T9" s="124">
        <v>0</v>
      </c>
      <c r="U9" s="130">
        <v>1246.9702300000001</v>
      </c>
      <c r="V9" s="122">
        <v>10447.942167592528</v>
      </c>
      <c r="W9" s="122">
        <f t="shared" si="0"/>
        <v>110.22047973539736</v>
      </c>
      <c r="X9" s="122">
        <f t="shared" si="1"/>
        <v>47181.469769999996</v>
      </c>
      <c r="Y9" s="122">
        <v>50866.009599999998</v>
      </c>
      <c r="Z9" s="122">
        <f t="shared" si="2"/>
        <v>-3684.5398300000015</v>
      </c>
      <c r="AA9" s="122">
        <f t="shared" si="3"/>
        <v>1246.9702300000001</v>
      </c>
      <c r="AC9" s="123"/>
    </row>
    <row r="10" spans="1:29" ht="13.5" hidden="1" thickBot="1" x14ac:dyDescent="0.25">
      <c r="A10" s="134">
        <v>42552</v>
      </c>
      <c r="B10" s="124">
        <v>0</v>
      </c>
      <c r="C10" s="125">
        <v>0</v>
      </c>
      <c r="D10" s="126">
        <v>0</v>
      </c>
      <c r="E10" s="127">
        <v>29176.75</v>
      </c>
      <c r="F10" s="128">
        <v>96</v>
      </c>
      <c r="G10" s="128">
        <v>8044.2859765144967</v>
      </c>
      <c r="H10" s="124">
        <v>0</v>
      </c>
      <c r="I10" s="129">
        <v>0</v>
      </c>
      <c r="J10" s="130">
        <v>29176.75</v>
      </c>
      <c r="K10" s="131">
        <v>0</v>
      </c>
      <c r="L10" s="132">
        <v>0</v>
      </c>
      <c r="M10" s="130">
        <v>3269.0299999999997</v>
      </c>
      <c r="N10" s="127">
        <v>32445.78</v>
      </c>
      <c r="O10" s="126">
        <v>8044.2859765144967</v>
      </c>
      <c r="P10" s="127">
        <v>0</v>
      </c>
      <c r="Q10" s="128">
        <v>0</v>
      </c>
      <c r="R10" s="128">
        <v>0</v>
      </c>
      <c r="S10" s="124">
        <v>0</v>
      </c>
      <c r="T10" s="124">
        <v>0</v>
      </c>
      <c r="U10" s="130">
        <v>0</v>
      </c>
      <c r="V10" s="122">
        <v>9802.9062450304627</v>
      </c>
      <c r="W10" s="122">
        <f t="shared" si="0"/>
        <v>0</v>
      </c>
      <c r="X10" s="122">
        <f t="shared" si="1"/>
        <v>29176.75</v>
      </c>
      <c r="Y10" s="122">
        <v>31531.75</v>
      </c>
      <c r="Z10" s="122">
        <f t="shared" si="2"/>
        <v>-2355</v>
      </c>
      <c r="AA10" s="122">
        <f t="shared" si="3"/>
        <v>0</v>
      </c>
      <c r="AC10" s="123"/>
    </row>
    <row r="11" spans="1:29" ht="13.5" hidden="1" thickBot="1" x14ac:dyDescent="0.25">
      <c r="A11" s="134">
        <v>42583</v>
      </c>
      <c r="B11" s="124">
        <v>5902.84</v>
      </c>
      <c r="C11" s="125">
        <v>505.79999999999995</v>
      </c>
      <c r="D11" s="126">
        <v>2</v>
      </c>
      <c r="E11" s="127">
        <v>48787.229800000001</v>
      </c>
      <c r="F11" s="128">
        <v>179</v>
      </c>
      <c r="G11" s="128">
        <v>15076.216363972915</v>
      </c>
      <c r="H11" s="124">
        <v>2955.0547500000002</v>
      </c>
      <c r="I11" s="129">
        <v>3764.8285000000001</v>
      </c>
      <c r="J11" s="130">
        <v>55507.113050000007</v>
      </c>
      <c r="K11" s="131">
        <v>0</v>
      </c>
      <c r="L11" s="132">
        <v>0</v>
      </c>
      <c r="M11" s="130">
        <v>0</v>
      </c>
      <c r="N11" s="127">
        <v>63592.319800000012</v>
      </c>
      <c r="O11" s="126">
        <v>15869.192687818644</v>
      </c>
      <c r="P11" s="127">
        <v>1444</v>
      </c>
      <c r="Q11" s="128">
        <v>4</v>
      </c>
      <c r="R11" s="128">
        <v>287.17632384572966</v>
      </c>
      <c r="S11" s="124">
        <v>324.69524999999999</v>
      </c>
      <c r="T11" s="124">
        <v>413.67150000000004</v>
      </c>
      <c r="U11" s="130">
        <v>2182.3667500000001</v>
      </c>
      <c r="V11" s="122">
        <v>9256.6185531541196</v>
      </c>
      <c r="W11" s="122">
        <f t="shared" si="0"/>
        <v>287.17632384572966</v>
      </c>
      <c r="X11" s="122">
        <f t="shared" si="1"/>
        <v>61409.953050000011</v>
      </c>
      <c r="Y11" s="122">
        <v>47535.712749999999</v>
      </c>
      <c r="Z11" s="122">
        <f t="shared" si="2"/>
        <v>13874.240300000012</v>
      </c>
      <c r="AA11" s="122">
        <f t="shared" si="3"/>
        <v>2182.3667500000001</v>
      </c>
      <c r="AC11" s="123"/>
    </row>
    <row r="12" spans="1:29" ht="13.5" hidden="1" thickBot="1" x14ac:dyDescent="0.25">
      <c r="A12" s="134">
        <v>42614</v>
      </c>
      <c r="B12" s="124">
        <v>7606.85</v>
      </c>
      <c r="C12" s="125">
        <v>758.69999999999993</v>
      </c>
      <c r="D12" s="126">
        <v>3</v>
      </c>
      <c r="E12" s="127">
        <v>30155.25</v>
      </c>
      <c r="F12" s="128">
        <v>112</v>
      </c>
      <c r="G12" s="128">
        <v>8243.3225174733725</v>
      </c>
      <c r="H12" s="124">
        <v>50610.346290000001</v>
      </c>
      <c r="I12" s="129">
        <v>0</v>
      </c>
      <c r="J12" s="130">
        <v>80765.596290000001</v>
      </c>
      <c r="K12" s="131">
        <v>1</v>
      </c>
      <c r="L12" s="132">
        <v>25</v>
      </c>
      <c r="M12" s="130">
        <v>63.07</v>
      </c>
      <c r="N12" s="127">
        <v>94358.860000000015</v>
      </c>
      <c r="O12" s="126">
        <v>9025.547415702822</v>
      </c>
      <c r="P12" s="127">
        <v>310.5</v>
      </c>
      <c r="Q12" s="128">
        <v>1</v>
      </c>
      <c r="R12" s="128">
        <v>23.52489822944894</v>
      </c>
      <c r="S12" s="124">
        <v>5612.8437100000001</v>
      </c>
      <c r="T12" s="124">
        <v>0</v>
      </c>
      <c r="U12" s="130">
        <v>5923.3437100000001</v>
      </c>
      <c r="V12" s="122">
        <v>10595.870035364504</v>
      </c>
      <c r="W12" s="122">
        <f t="shared" si="0"/>
        <v>23.52489822944894</v>
      </c>
      <c r="X12" s="122">
        <f t="shared" si="1"/>
        <v>88372.446290000007</v>
      </c>
      <c r="Y12" s="122">
        <v>40674.568800000001</v>
      </c>
      <c r="Z12" s="122">
        <f t="shared" si="2"/>
        <v>47697.877490000006</v>
      </c>
      <c r="AA12" s="122">
        <f t="shared" si="3"/>
        <v>5923.3437100000001</v>
      </c>
      <c r="AC12" s="123"/>
    </row>
    <row r="13" spans="1:29" ht="13.5" hidden="1" thickBot="1" x14ac:dyDescent="0.25">
      <c r="A13" s="134">
        <v>42644</v>
      </c>
      <c r="B13" s="124">
        <v>13764.4</v>
      </c>
      <c r="C13" s="125">
        <v>1264.5</v>
      </c>
      <c r="D13" s="126">
        <v>5</v>
      </c>
      <c r="E13" s="127">
        <v>29489.25</v>
      </c>
      <c r="F13" s="128">
        <v>104</v>
      </c>
      <c r="G13" s="128">
        <v>9306.2106198461588</v>
      </c>
      <c r="H13" s="124">
        <v>11613.250290000002</v>
      </c>
      <c r="I13" s="129">
        <v>0</v>
      </c>
      <c r="J13" s="130">
        <v>41102.500290000004</v>
      </c>
      <c r="K13" s="131">
        <v>4</v>
      </c>
      <c r="L13" s="132">
        <v>227</v>
      </c>
      <c r="M13" s="135">
        <v>0</v>
      </c>
      <c r="N13" s="127">
        <v>56890.19</v>
      </c>
      <c r="O13" s="126">
        <v>10805.7392495771</v>
      </c>
      <c r="P13" s="127">
        <v>747.25</v>
      </c>
      <c r="Q13" s="128">
        <v>2</v>
      </c>
      <c r="R13" s="128">
        <v>235.02862973094201</v>
      </c>
      <c r="S13" s="124">
        <v>1276.0397100000002</v>
      </c>
      <c r="T13" s="124">
        <v>0</v>
      </c>
      <c r="U13" s="130">
        <v>2023.2897100000002</v>
      </c>
      <c r="V13" s="122">
        <v>10791.717350558241</v>
      </c>
      <c r="W13" s="122">
        <f t="shared" si="0"/>
        <v>235.02862973094201</v>
      </c>
      <c r="X13" s="122">
        <f t="shared" si="1"/>
        <v>54866.900290000005</v>
      </c>
      <c r="Y13" s="122">
        <v>43891.030000000006</v>
      </c>
      <c r="Z13" s="122">
        <f t="shared" si="2"/>
        <v>10975.870289999999</v>
      </c>
      <c r="AA13" s="122">
        <f t="shared" si="3"/>
        <v>2023.2897100000002</v>
      </c>
      <c r="AC13" s="123"/>
    </row>
    <row r="14" spans="1:29" ht="13.5" hidden="1" thickBot="1" x14ac:dyDescent="0.25">
      <c r="A14" s="134">
        <v>42675</v>
      </c>
      <c r="B14" s="124">
        <v>5017.3900000000003</v>
      </c>
      <c r="C14" s="125">
        <v>505.79999999999995</v>
      </c>
      <c r="D14" s="126">
        <v>2</v>
      </c>
      <c r="E14" s="127">
        <v>38259.75</v>
      </c>
      <c r="F14" s="128">
        <v>122</v>
      </c>
      <c r="G14" s="128">
        <v>11945.635835496631</v>
      </c>
      <c r="H14" s="124">
        <v>3437.0717300000001</v>
      </c>
      <c r="I14" s="129">
        <v>3722.3823900000002</v>
      </c>
      <c r="J14" s="130">
        <v>45419.204120000002</v>
      </c>
      <c r="K14" s="131">
        <v>2</v>
      </c>
      <c r="L14" s="132">
        <v>310</v>
      </c>
      <c r="M14" s="130">
        <v>0</v>
      </c>
      <c r="N14" s="127">
        <v>53313.51</v>
      </c>
      <c r="O14" s="126">
        <v>13255.273249786491</v>
      </c>
      <c r="P14" s="127">
        <v>2090.25</v>
      </c>
      <c r="Q14" s="128">
        <v>6</v>
      </c>
      <c r="R14" s="128">
        <v>803.83741428986059</v>
      </c>
      <c r="S14" s="124">
        <v>377.65827000000002</v>
      </c>
      <c r="T14" s="124">
        <v>409.00761000000006</v>
      </c>
      <c r="U14" s="130">
        <v>2876.91588</v>
      </c>
      <c r="V14" s="122">
        <v>9397.8421237540824</v>
      </c>
      <c r="W14" s="122">
        <f t="shared" si="0"/>
        <v>803.83741428986059</v>
      </c>
      <c r="X14" s="122">
        <f t="shared" si="1"/>
        <v>50436.594120000002</v>
      </c>
      <c r="Y14" s="122">
        <v>42702.097750000001</v>
      </c>
      <c r="Z14" s="122">
        <f t="shared" si="2"/>
        <v>7734.4963700000008</v>
      </c>
      <c r="AA14" s="122">
        <f t="shared" si="3"/>
        <v>2876.91588</v>
      </c>
      <c r="AC14" s="123"/>
    </row>
    <row r="15" spans="1:29" ht="13.5" hidden="1" thickBot="1" x14ac:dyDescent="0.25">
      <c r="A15" s="136">
        <v>42705</v>
      </c>
      <c r="B15" s="137">
        <v>6694.25</v>
      </c>
      <c r="C15" s="138">
        <v>758.69999999999993</v>
      </c>
      <c r="D15" s="139">
        <v>3</v>
      </c>
      <c r="E15" s="140">
        <v>31455.25</v>
      </c>
      <c r="F15" s="141">
        <v>117</v>
      </c>
      <c r="G15" s="141">
        <v>8635.4674972334396</v>
      </c>
      <c r="H15" s="137">
        <v>2469.7941700000001</v>
      </c>
      <c r="I15" s="137">
        <v>0</v>
      </c>
      <c r="J15" s="142">
        <v>33925.044170000001</v>
      </c>
      <c r="K15" s="143">
        <v>3</v>
      </c>
      <c r="L15" s="144">
        <v>385</v>
      </c>
      <c r="M15" s="142">
        <v>590.29999999999995</v>
      </c>
      <c r="N15" s="145">
        <v>41480.97</v>
      </c>
      <c r="O15" s="139">
        <v>9394.1674972334404</v>
      </c>
      <c r="P15" s="140">
        <v>0</v>
      </c>
      <c r="Q15" s="141">
        <v>0</v>
      </c>
      <c r="R15" s="141">
        <v>0</v>
      </c>
      <c r="S15" s="137">
        <v>271.37583000000001</v>
      </c>
      <c r="T15" s="137">
        <v>0</v>
      </c>
      <c r="U15" s="142">
        <v>271.37583000000001</v>
      </c>
      <c r="V15" s="122">
        <v>10300.560168771106</v>
      </c>
      <c r="W15" s="122">
        <f t="shared" si="0"/>
        <v>0</v>
      </c>
      <c r="X15" s="122">
        <f t="shared" si="1"/>
        <v>40619.294170000001</v>
      </c>
      <c r="Y15" s="122">
        <v>40786.654299999995</v>
      </c>
      <c r="Z15" s="122">
        <f t="shared" si="2"/>
        <v>-167.36012999999366</v>
      </c>
      <c r="AA15" s="122">
        <f t="shared" si="3"/>
        <v>271.37583000000001</v>
      </c>
      <c r="AC15" s="123"/>
    </row>
    <row r="16" spans="1:29" ht="14.25" hidden="1" thickTop="1" thickBot="1" x14ac:dyDescent="0.25">
      <c r="A16" s="146" t="s">
        <v>106</v>
      </c>
      <c r="B16" s="147">
        <v>100128.55</v>
      </c>
      <c r="C16" s="148">
        <v>9610.1999999999989</v>
      </c>
      <c r="D16" s="149">
        <v>38</v>
      </c>
      <c r="E16" s="150">
        <v>441058.8676</v>
      </c>
      <c r="F16" s="151">
        <v>1600</v>
      </c>
      <c r="G16" s="151">
        <v>125682.7439754006</v>
      </c>
      <c r="H16" s="147">
        <v>214684.15819000007</v>
      </c>
      <c r="I16" s="147">
        <v>15666.71414</v>
      </c>
      <c r="J16" s="152">
        <v>671409.73992999992</v>
      </c>
      <c r="K16" s="153">
        <v>16</v>
      </c>
      <c r="L16" s="151">
        <v>1391</v>
      </c>
      <c r="M16" s="152">
        <v>3922.3999999999996</v>
      </c>
      <c r="N16" s="150">
        <v>816241.54759999993</v>
      </c>
      <c r="O16" s="149">
        <v>139568.47573627045</v>
      </c>
      <c r="P16" s="150">
        <v>15418.5</v>
      </c>
      <c r="Q16" s="151">
        <v>56</v>
      </c>
      <c r="R16" s="151">
        <v>4275.5317608698406</v>
      </c>
      <c r="S16" s="147">
        <v>23640.931810000005</v>
      </c>
      <c r="T16" s="147">
        <v>1721.4258600000003</v>
      </c>
      <c r="U16" s="154">
        <v>40780.857669999998</v>
      </c>
      <c r="V16" s="122"/>
      <c r="W16" s="122"/>
      <c r="X16" s="122"/>
      <c r="Y16" s="122"/>
      <c r="Z16" s="122"/>
      <c r="AA16" s="122"/>
      <c r="AC16" s="123"/>
    </row>
    <row r="17" spans="1:29" ht="13.5" hidden="1" thickBot="1" x14ac:dyDescent="0.25">
      <c r="A17" s="155" t="s">
        <v>107</v>
      </c>
      <c r="B17" s="156">
        <v>3089719.25</v>
      </c>
      <c r="C17" s="157">
        <v>309592.38000000006</v>
      </c>
      <c r="D17" s="158">
        <v>1817</v>
      </c>
      <c r="E17" s="159">
        <v>2593206.6954000001</v>
      </c>
      <c r="F17" s="160">
        <v>9970</v>
      </c>
      <c r="G17" s="160">
        <v>789414.87907736131</v>
      </c>
      <c r="H17" s="156">
        <v>407474.28819000011</v>
      </c>
      <c r="I17" s="156">
        <v>98275.021159999989</v>
      </c>
      <c r="J17" s="161">
        <v>3098956.0047500003</v>
      </c>
      <c r="K17" s="162">
        <v>136</v>
      </c>
      <c r="L17" s="160">
        <v>10904</v>
      </c>
      <c r="M17" s="161">
        <v>35428.22</v>
      </c>
      <c r="N17" s="159">
        <v>6382279.0540000005</v>
      </c>
      <c r="O17" s="158">
        <v>1141430.57661348</v>
      </c>
      <c r="P17" s="159">
        <v>131050.65760000001</v>
      </c>
      <c r="Q17" s="163">
        <v>434</v>
      </c>
      <c r="R17" s="163">
        <v>45046.091382037921</v>
      </c>
      <c r="S17" s="159">
        <v>32723.581810000007</v>
      </c>
      <c r="T17" s="159">
        <v>7706.7898399999995</v>
      </c>
      <c r="U17" s="161">
        <v>171481.02925000002</v>
      </c>
      <c r="V17" s="122"/>
      <c r="W17" s="122"/>
      <c r="X17" s="122"/>
      <c r="Y17" s="122"/>
      <c r="Z17" s="122"/>
      <c r="AA17" s="122"/>
      <c r="AC17" s="123"/>
    </row>
    <row r="18" spans="1:29" ht="13.5" thickBot="1" x14ac:dyDescent="0.25">
      <c r="A18" s="112">
        <v>42736</v>
      </c>
      <c r="B18" s="113">
        <v>9000</v>
      </c>
      <c r="C18" s="114">
        <v>758.69999999999993</v>
      </c>
      <c r="D18" s="115">
        <v>3</v>
      </c>
      <c r="E18" s="116">
        <v>71442.882400000002</v>
      </c>
      <c r="F18" s="117">
        <v>252</v>
      </c>
      <c r="G18" s="117">
        <v>20279.730382432899</v>
      </c>
      <c r="H18" s="113">
        <v>2172.1758500000001</v>
      </c>
      <c r="I18" s="118">
        <v>0</v>
      </c>
      <c r="J18" s="119">
        <v>73615.058250000002</v>
      </c>
      <c r="K18" s="120">
        <v>2</v>
      </c>
      <c r="L18" s="121">
        <v>135</v>
      </c>
      <c r="M18" s="119">
        <v>0</v>
      </c>
      <c r="N18" s="116">
        <v>82853.732400000008</v>
      </c>
      <c r="O18" s="115">
        <v>21038.4303824329</v>
      </c>
      <c r="P18" s="116">
        <v>0</v>
      </c>
      <c r="Q18" s="117">
        <v>0</v>
      </c>
      <c r="R18" s="117">
        <v>0</v>
      </c>
      <c r="S18" s="113">
        <v>238.67415</v>
      </c>
      <c r="T18" s="113">
        <v>0</v>
      </c>
      <c r="U18" s="119">
        <v>238.67415</v>
      </c>
      <c r="V18" s="122">
        <f>C18+G18</f>
        <v>21038.4303824329</v>
      </c>
      <c r="W18" s="122">
        <f t="shared" ref="W18:W29" si="4">R18</f>
        <v>0</v>
      </c>
      <c r="X18" s="122">
        <f t="shared" ref="X18:X29" si="5">N18-U18-M18</f>
        <v>82615.058250000002</v>
      </c>
      <c r="Y18" s="122">
        <v>198649.38744000002</v>
      </c>
      <c r="Z18" s="122">
        <f t="shared" ref="Z18:Z29" si="6">X18-Y18</f>
        <v>-116034.32919000002</v>
      </c>
      <c r="AA18" s="122">
        <f t="shared" ref="AA18:AA29" si="7">U18</f>
        <v>238.67415</v>
      </c>
      <c r="AC18" s="123"/>
    </row>
    <row r="19" spans="1:29" x14ac:dyDescent="0.2">
      <c r="A19" s="112">
        <v>42767</v>
      </c>
      <c r="B19" s="124">
        <v>10030.32</v>
      </c>
      <c r="C19" s="125">
        <v>1011.5999999999999</v>
      </c>
      <c r="D19" s="126">
        <v>4</v>
      </c>
      <c r="E19" s="127">
        <v>43548.447099999998</v>
      </c>
      <c r="F19" s="128">
        <v>154</v>
      </c>
      <c r="G19" s="128">
        <v>11919.200215688788</v>
      </c>
      <c r="H19" s="124">
        <v>2755.2580000000003</v>
      </c>
      <c r="I19" s="129">
        <v>4025.6680000000001</v>
      </c>
      <c r="J19" s="130">
        <v>50329.373099999997</v>
      </c>
      <c r="K19" s="131">
        <v>1</v>
      </c>
      <c r="L19" s="132">
        <v>82</v>
      </c>
      <c r="M19" s="133">
        <v>0</v>
      </c>
      <c r="N19" s="127">
        <v>64033.017099999997</v>
      </c>
      <c r="O19" s="126">
        <v>14030.143430289085</v>
      </c>
      <c r="P19" s="127">
        <v>2928.25</v>
      </c>
      <c r="Q19" s="128">
        <v>10</v>
      </c>
      <c r="R19" s="128">
        <v>1099.3432146002967</v>
      </c>
      <c r="S19" s="124">
        <v>302.74200000000002</v>
      </c>
      <c r="T19" s="124">
        <v>442.33199999999999</v>
      </c>
      <c r="U19" s="130">
        <v>3673.3240000000001</v>
      </c>
      <c r="V19" s="122">
        <f t="shared" ref="V19:V29" si="8">C19+G19</f>
        <v>12930.800215688789</v>
      </c>
      <c r="W19" s="122">
        <f t="shared" si="4"/>
        <v>1099.3432146002967</v>
      </c>
      <c r="X19" s="122">
        <f t="shared" si="5"/>
        <v>60359.693099999997</v>
      </c>
      <c r="Y19" s="122">
        <v>41801.8626</v>
      </c>
      <c r="Z19" s="122">
        <f t="shared" si="6"/>
        <v>18557.830499999996</v>
      </c>
      <c r="AA19" s="122">
        <f t="shared" si="7"/>
        <v>3673.3240000000001</v>
      </c>
      <c r="AC19" s="123"/>
    </row>
    <row r="20" spans="1:29" x14ac:dyDescent="0.2">
      <c r="A20" s="134">
        <v>42795</v>
      </c>
      <c r="B20" s="124">
        <v>13745.35</v>
      </c>
      <c r="C20" s="125">
        <v>1517.3999999999999</v>
      </c>
      <c r="D20" s="126">
        <v>6</v>
      </c>
      <c r="E20" s="127">
        <v>23152.4748</v>
      </c>
      <c r="F20" s="128">
        <v>84</v>
      </c>
      <c r="G20" s="128">
        <v>4993.5375551935031</v>
      </c>
      <c r="H20" s="124">
        <v>756.84</v>
      </c>
      <c r="I20" s="129">
        <v>0</v>
      </c>
      <c r="J20" s="130">
        <v>23909.3148</v>
      </c>
      <c r="K20" s="131">
        <v>2</v>
      </c>
      <c r="L20" s="132">
        <v>162</v>
      </c>
      <c r="M20" s="133">
        <v>0</v>
      </c>
      <c r="N20" s="127">
        <v>38247.574800000002</v>
      </c>
      <c r="O20" s="126">
        <v>6684.0945563155719</v>
      </c>
      <c r="P20" s="127">
        <v>509.75</v>
      </c>
      <c r="Q20" s="128">
        <v>4</v>
      </c>
      <c r="R20" s="128">
        <v>173.15700112206929</v>
      </c>
      <c r="S20" s="124">
        <v>83.160000000000011</v>
      </c>
      <c r="T20" s="124">
        <v>0</v>
      </c>
      <c r="U20" s="130">
        <v>592.91</v>
      </c>
      <c r="V20" s="122">
        <f t="shared" si="8"/>
        <v>6510.9375551935027</v>
      </c>
      <c r="W20" s="122">
        <f t="shared" si="4"/>
        <v>173.15700112206929</v>
      </c>
      <c r="X20" s="122">
        <f t="shared" si="5"/>
        <v>37654.664799999999</v>
      </c>
      <c r="Y20" s="122">
        <v>52364.369149999999</v>
      </c>
      <c r="Z20" s="122">
        <f t="shared" si="6"/>
        <v>-14709.70435</v>
      </c>
      <c r="AA20" s="122">
        <f t="shared" si="7"/>
        <v>592.91</v>
      </c>
      <c r="AC20" s="123"/>
    </row>
    <row r="21" spans="1:29" x14ac:dyDescent="0.2">
      <c r="A21" s="134">
        <v>42826</v>
      </c>
      <c r="B21" s="124">
        <v>11166.1</v>
      </c>
      <c r="C21" s="125">
        <v>1011.5999999999999</v>
      </c>
      <c r="D21" s="126">
        <v>4</v>
      </c>
      <c r="E21" s="127">
        <v>30622</v>
      </c>
      <c r="F21" s="128">
        <v>117</v>
      </c>
      <c r="G21" s="128">
        <v>7865.6704022256727</v>
      </c>
      <c r="H21" s="124">
        <v>2022.7450000000001</v>
      </c>
      <c r="I21" s="129">
        <v>0</v>
      </c>
      <c r="J21" s="130">
        <v>32644.744999999999</v>
      </c>
      <c r="K21" s="131">
        <v>1</v>
      </c>
      <c r="L21" s="131">
        <v>25</v>
      </c>
      <c r="M21" s="130">
        <v>0</v>
      </c>
      <c r="N21" s="127">
        <v>44033.1</v>
      </c>
      <c r="O21" s="126">
        <v>8877.270402225673</v>
      </c>
      <c r="P21" s="127">
        <v>0</v>
      </c>
      <c r="Q21" s="128">
        <v>0</v>
      </c>
      <c r="R21" s="128">
        <v>0</v>
      </c>
      <c r="S21" s="124">
        <v>222.25500000000002</v>
      </c>
      <c r="T21" s="124">
        <v>0</v>
      </c>
      <c r="U21" s="130">
        <v>222.25500000000002</v>
      </c>
      <c r="V21" s="122">
        <f t="shared" si="8"/>
        <v>8877.270402225673</v>
      </c>
      <c r="W21" s="122">
        <f t="shared" si="4"/>
        <v>0</v>
      </c>
      <c r="X21" s="122">
        <f t="shared" si="5"/>
        <v>43810.845000000001</v>
      </c>
      <c r="Y21" s="122">
        <v>46396.194799999997</v>
      </c>
      <c r="Z21" s="122">
        <f t="shared" si="6"/>
        <v>-2585.3497999999963</v>
      </c>
      <c r="AA21" s="122">
        <f t="shared" si="7"/>
        <v>222.25500000000002</v>
      </c>
      <c r="AC21" s="123"/>
    </row>
    <row r="22" spans="1:29" x14ac:dyDescent="0.2">
      <c r="A22" s="134">
        <v>42856</v>
      </c>
      <c r="B22" s="124">
        <v>4284.01</v>
      </c>
      <c r="C22" s="125">
        <v>505.79999999999995</v>
      </c>
      <c r="D22" s="126">
        <v>2</v>
      </c>
      <c r="E22" s="127">
        <v>30385.25</v>
      </c>
      <c r="F22" s="128">
        <v>109</v>
      </c>
      <c r="G22" s="128">
        <v>7599.5758724646284</v>
      </c>
      <c r="H22" s="124">
        <v>1342.49</v>
      </c>
      <c r="I22" s="129">
        <v>4268.9380000000001</v>
      </c>
      <c r="J22" s="130">
        <v>35996.678</v>
      </c>
      <c r="K22" s="131">
        <v>0</v>
      </c>
      <c r="L22" s="132">
        <v>0</v>
      </c>
      <c r="M22" s="130">
        <v>0</v>
      </c>
      <c r="N22" s="127">
        <v>40897.26</v>
      </c>
      <c r="O22" s="126">
        <v>8105.3758724646286</v>
      </c>
      <c r="P22" s="127">
        <v>0</v>
      </c>
      <c r="Q22" s="128">
        <v>0</v>
      </c>
      <c r="R22" s="128">
        <v>0</v>
      </c>
      <c r="S22" s="124">
        <v>147.51000000000002</v>
      </c>
      <c r="T22" s="124">
        <v>469.06200000000001</v>
      </c>
      <c r="U22" s="130">
        <v>616.572</v>
      </c>
      <c r="V22" s="122">
        <f t="shared" si="8"/>
        <v>8105.3758724646286</v>
      </c>
      <c r="W22" s="122">
        <f t="shared" si="4"/>
        <v>0</v>
      </c>
      <c r="X22" s="122">
        <f t="shared" si="5"/>
        <v>40280.688000000002</v>
      </c>
      <c r="Y22" s="122">
        <v>60263.068250000004</v>
      </c>
      <c r="Z22" s="122">
        <f t="shared" si="6"/>
        <v>-19982.380250000002</v>
      </c>
      <c r="AA22" s="122">
        <f t="shared" si="7"/>
        <v>616.572</v>
      </c>
      <c r="AC22" s="123"/>
    </row>
    <row r="23" spans="1:29" x14ac:dyDescent="0.2">
      <c r="A23" s="134">
        <v>42887</v>
      </c>
      <c r="B23" s="124">
        <v>32078.59</v>
      </c>
      <c r="C23" s="125">
        <v>2781.8999999999996</v>
      </c>
      <c r="D23" s="126">
        <v>11</v>
      </c>
      <c r="E23" s="127">
        <v>35369.717299999997</v>
      </c>
      <c r="F23" s="128">
        <v>124</v>
      </c>
      <c r="G23" s="128">
        <v>9931.109637353331</v>
      </c>
      <c r="H23" s="124">
        <v>0</v>
      </c>
      <c r="I23" s="129">
        <v>0</v>
      </c>
      <c r="J23" s="130">
        <v>35369.717299999997</v>
      </c>
      <c r="K23" s="131">
        <v>0</v>
      </c>
      <c r="L23" s="132">
        <v>0</v>
      </c>
      <c r="M23" s="130">
        <v>0</v>
      </c>
      <c r="N23" s="127">
        <v>67448.3073</v>
      </c>
      <c r="O23" s="126">
        <v>12713.009637353331</v>
      </c>
      <c r="P23" s="127">
        <v>0</v>
      </c>
      <c r="Q23" s="128">
        <v>0</v>
      </c>
      <c r="R23" s="128">
        <v>0</v>
      </c>
      <c r="S23" s="124">
        <v>0</v>
      </c>
      <c r="T23" s="124">
        <v>0</v>
      </c>
      <c r="U23" s="130">
        <v>0</v>
      </c>
      <c r="V23" s="122">
        <f t="shared" si="8"/>
        <v>12713.009637353331</v>
      </c>
      <c r="W23" s="122">
        <f t="shared" si="4"/>
        <v>0</v>
      </c>
      <c r="X23" s="122">
        <f t="shared" si="5"/>
        <v>67448.3073</v>
      </c>
      <c r="Y23" s="122">
        <v>47181.469769999996</v>
      </c>
      <c r="Z23" s="122">
        <f t="shared" si="6"/>
        <v>20266.837530000004</v>
      </c>
      <c r="AA23" s="122">
        <f t="shared" si="7"/>
        <v>0</v>
      </c>
      <c r="AC23" s="123"/>
    </row>
    <row r="24" spans="1:29" x14ac:dyDescent="0.2">
      <c r="A24" s="134">
        <v>42917</v>
      </c>
      <c r="B24" s="124">
        <v>5426.42</v>
      </c>
      <c r="C24" s="125">
        <v>505.79999999999995</v>
      </c>
      <c r="D24" s="126">
        <v>2</v>
      </c>
      <c r="E24" s="127">
        <v>17715.5</v>
      </c>
      <c r="F24" s="128">
        <v>66</v>
      </c>
      <c r="G24" s="128">
        <v>4749.1843489144221</v>
      </c>
      <c r="H24" s="124">
        <v>425.20893000000001</v>
      </c>
      <c r="I24" s="129">
        <v>0</v>
      </c>
      <c r="J24" s="130">
        <v>18140.708930000001</v>
      </c>
      <c r="K24" s="131">
        <v>0</v>
      </c>
      <c r="L24" s="132">
        <v>0</v>
      </c>
      <c r="M24" s="130">
        <v>0</v>
      </c>
      <c r="N24" s="127">
        <v>23949.599999999999</v>
      </c>
      <c r="O24" s="126">
        <v>5397.1865450541518</v>
      </c>
      <c r="P24" s="127">
        <v>335.75</v>
      </c>
      <c r="Q24" s="128">
        <v>1</v>
      </c>
      <c r="R24" s="128">
        <v>142.20219613972964</v>
      </c>
      <c r="S24" s="124">
        <v>46.721070000000005</v>
      </c>
      <c r="T24" s="124">
        <v>0</v>
      </c>
      <c r="U24" s="130">
        <v>382.47107</v>
      </c>
      <c r="V24" s="122">
        <f t="shared" si="8"/>
        <v>5254.9843489144223</v>
      </c>
      <c r="W24" s="122">
        <f t="shared" si="4"/>
        <v>142.20219613972964</v>
      </c>
      <c r="X24" s="122">
        <f t="shared" si="5"/>
        <v>23567.128929999999</v>
      </c>
      <c r="Y24" s="122">
        <v>32445.78</v>
      </c>
      <c r="Z24" s="122">
        <f t="shared" si="6"/>
        <v>-8878.6510699999999</v>
      </c>
      <c r="AA24" s="122">
        <f t="shared" si="7"/>
        <v>382.47107</v>
      </c>
      <c r="AC24" s="123"/>
    </row>
    <row r="25" spans="1:29" x14ac:dyDescent="0.2">
      <c r="A25" s="134">
        <v>42948</v>
      </c>
      <c r="B25" s="124">
        <v>8387.35</v>
      </c>
      <c r="C25" s="125">
        <v>758.69999999999993</v>
      </c>
      <c r="D25" s="126">
        <v>3</v>
      </c>
      <c r="E25" s="127">
        <v>40330.664700000001</v>
      </c>
      <c r="F25" s="128">
        <v>143</v>
      </c>
      <c r="G25" s="128">
        <v>11754.915137805612</v>
      </c>
      <c r="H25" s="124">
        <v>4405.8900000000003</v>
      </c>
      <c r="I25" s="129">
        <v>4121.0838999999996</v>
      </c>
      <c r="J25" s="130">
        <v>48857.638599999998</v>
      </c>
      <c r="K25" s="131">
        <v>0</v>
      </c>
      <c r="L25" s="132">
        <v>0</v>
      </c>
      <c r="M25" s="130">
        <v>0</v>
      </c>
      <c r="N25" s="127">
        <v>58181.914699999994</v>
      </c>
      <c r="O25" s="126">
        <v>12513.615137805613</v>
      </c>
      <c r="P25" s="127">
        <v>0</v>
      </c>
      <c r="Q25" s="128">
        <v>0</v>
      </c>
      <c r="R25" s="128">
        <v>0</v>
      </c>
      <c r="S25" s="124">
        <v>484.11</v>
      </c>
      <c r="T25" s="124">
        <v>452.81610000000001</v>
      </c>
      <c r="U25" s="130">
        <v>936.92610000000002</v>
      </c>
      <c r="V25" s="122">
        <f t="shared" si="8"/>
        <v>12513.615137805613</v>
      </c>
      <c r="W25" s="122">
        <f t="shared" si="4"/>
        <v>0</v>
      </c>
      <c r="X25" s="122">
        <f t="shared" si="5"/>
        <v>57244.988599999997</v>
      </c>
      <c r="Y25" s="122">
        <v>61409.953050000011</v>
      </c>
      <c r="Z25" s="122">
        <f t="shared" si="6"/>
        <v>-4164.964450000014</v>
      </c>
      <c r="AA25" s="122">
        <f t="shared" si="7"/>
        <v>936.92610000000002</v>
      </c>
      <c r="AC25" s="123"/>
    </row>
    <row r="26" spans="1:29" x14ac:dyDescent="0.2">
      <c r="A26" s="134">
        <v>42979</v>
      </c>
      <c r="B26" s="124">
        <v>5165.5200000000004</v>
      </c>
      <c r="C26" s="125">
        <v>505.79999999999995</v>
      </c>
      <c r="D26" s="126">
        <v>2</v>
      </c>
      <c r="E26" s="127">
        <v>48987.25</v>
      </c>
      <c r="F26" s="128">
        <v>172</v>
      </c>
      <c r="G26" s="128">
        <v>13392.229507845883</v>
      </c>
      <c r="H26" s="124">
        <v>6758.9235799999997</v>
      </c>
      <c r="I26" s="129">
        <v>0</v>
      </c>
      <c r="J26" s="130">
        <v>55746.173580000002</v>
      </c>
      <c r="K26" s="131">
        <v>0</v>
      </c>
      <c r="L26" s="132">
        <v>0</v>
      </c>
      <c r="M26" s="130">
        <v>297.63</v>
      </c>
      <c r="N26" s="127">
        <f t="shared" ref="N26:N29" si="9">B26+J26+M26+U26</f>
        <v>62363.48</v>
      </c>
      <c r="O26" s="126">
        <f t="shared" ref="O26:O29" si="10">C26+G26+R26</f>
        <v>13990.855941437094</v>
      </c>
      <c r="P26" s="127">
        <v>411.5</v>
      </c>
      <c r="Q26" s="128">
        <v>1</v>
      </c>
      <c r="R26" s="128">
        <v>92.826433591212378</v>
      </c>
      <c r="S26" s="124">
        <v>742.65642000000003</v>
      </c>
      <c r="T26" s="124">
        <v>0</v>
      </c>
      <c r="U26" s="130">
        <v>1154.15642</v>
      </c>
      <c r="V26" s="122">
        <f t="shared" si="8"/>
        <v>13898.029507845882</v>
      </c>
      <c r="W26" s="122">
        <f t="shared" si="4"/>
        <v>92.826433591212378</v>
      </c>
      <c r="X26" s="122">
        <f t="shared" si="5"/>
        <v>60911.693580000006</v>
      </c>
      <c r="Y26" s="122">
        <f>N26-U26</f>
        <v>61209.323580000004</v>
      </c>
      <c r="Z26" s="122">
        <f t="shared" si="6"/>
        <v>-297.62999999999738</v>
      </c>
      <c r="AA26" s="122">
        <f t="shared" si="7"/>
        <v>1154.15642</v>
      </c>
      <c r="AC26" s="123"/>
    </row>
    <row r="27" spans="1:29" x14ac:dyDescent="0.2">
      <c r="A27" s="134">
        <v>43009</v>
      </c>
      <c r="B27" s="124">
        <v>11353.57</v>
      </c>
      <c r="C27" s="125">
        <v>1011.5999999999999</v>
      </c>
      <c r="D27" s="126">
        <v>4</v>
      </c>
      <c r="E27" s="127">
        <v>94541.75</v>
      </c>
      <c r="F27" s="128">
        <v>361</v>
      </c>
      <c r="G27" s="128">
        <v>23899.481625359331</v>
      </c>
      <c r="H27" s="124">
        <v>9044.0938399999995</v>
      </c>
      <c r="I27" s="129">
        <v>0</v>
      </c>
      <c r="J27" s="130">
        <v>103585.84384</v>
      </c>
      <c r="K27" s="131">
        <v>0</v>
      </c>
      <c r="L27" s="132">
        <v>0</v>
      </c>
      <c r="M27" s="135">
        <v>34.68</v>
      </c>
      <c r="N27" s="127">
        <f t="shared" si="9"/>
        <v>115967.83999999998</v>
      </c>
      <c r="O27" s="126">
        <f t="shared" si="10"/>
        <v>24911.081625359329</v>
      </c>
      <c r="P27" s="127">
        <v>0</v>
      </c>
      <c r="Q27" s="128">
        <v>0</v>
      </c>
      <c r="R27" s="128">
        <v>0</v>
      </c>
      <c r="S27" s="124">
        <v>993.74615999999992</v>
      </c>
      <c r="T27" s="124">
        <v>0</v>
      </c>
      <c r="U27" s="130">
        <v>993.74615999999992</v>
      </c>
      <c r="V27" s="122">
        <f t="shared" si="8"/>
        <v>24911.081625359329</v>
      </c>
      <c r="W27" s="122">
        <f t="shared" si="4"/>
        <v>0</v>
      </c>
      <c r="X27" s="122">
        <f t="shared" si="5"/>
        <v>114939.41383999999</v>
      </c>
      <c r="Y27" s="122">
        <f t="shared" ref="Y27:Y29" si="11">N27-U27</f>
        <v>114974.09383999999</v>
      </c>
      <c r="Z27" s="122">
        <f t="shared" si="6"/>
        <v>-34.679999999993015</v>
      </c>
      <c r="AA27" s="122">
        <f t="shared" si="7"/>
        <v>993.74615999999992</v>
      </c>
      <c r="AC27" s="123"/>
    </row>
    <row r="28" spans="1:29" x14ac:dyDescent="0.2">
      <c r="A28" s="134">
        <v>43040</v>
      </c>
      <c r="B28" s="124">
        <v>17117.04</v>
      </c>
      <c r="C28" s="125">
        <v>1517.3999999999999</v>
      </c>
      <c r="D28" s="126">
        <v>6</v>
      </c>
      <c r="E28" s="127">
        <v>37771.75</v>
      </c>
      <c r="F28" s="128">
        <v>131</v>
      </c>
      <c r="G28" s="128">
        <v>11270.436972885138</v>
      </c>
      <c r="H28" s="124">
        <v>11080.921470000001</v>
      </c>
      <c r="I28" s="129">
        <v>4433.7308999999996</v>
      </c>
      <c r="J28" s="130">
        <v>53286.402370000003</v>
      </c>
      <c r="K28" s="131">
        <v>0</v>
      </c>
      <c r="L28" s="132">
        <v>0</v>
      </c>
      <c r="M28" s="130">
        <v>0</v>
      </c>
      <c r="N28" s="127">
        <f t="shared" si="9"/>
        <v>72108.160000000003</v>
      </c>
      <c r="O28" s="126">
        <f t="shared" si="10"/>
        <v>12787.836972885138</v>
      </c>
      <c r="P28" s="127">
        <v>0</v>
      </c>
      <c r="Q28" s="128">
        <v>0</v>
      </c>
      <c r="R28" s="128">
        <v>0</v>
      </c>
      <c r="S28" s="124">
        <v>1217.5485300000003</v>
      </c>
      <c r="T28" s="124">
        <v>487.16910000000001</v>
      </c>
      <c r="U28" s="130">
        <v>1704.7176300000003</v>
      </c>
      <c r="V28" s="122">
        <f t="shared" si="8"/>
        <v>12787.836972885138</v>
      </c>
      <c r="W28" s="122">
        <f t="shared" si="4"/>
        <v>0</v>
      </c>
      <c r="X28" s="122">
        <f t="shared" si="5"/>
        <v>70403.442370000004</v>
      </c>
      <c r="Y28" s="122">
        <f t="shared" si="11"/>
        <v>70403.442370000004</v>
      </c>
      <c r="Z28" s="122">
        <f t="shared" si="6"/>
        <v>0</v>
      </c>
      <c r="AA28" s="122">
        <f t="shared" si="7"/>
        <v>1704.7176300000003</v>
      </c>
      <c r="AC28" s="123"/>
    </row>
    <row r="29" spans="1:29" ht="13.5" thickBot="1" x14ac:dyDescent="0.25">
      <c r="A29" s="136">
        <v>43070</v>
      </c>
      <c r="B29" s="137">
        <v>6000</v>
      </c>
      <c r="C29" s="138">
        <v>505.79999999999995</v>
      </c>
      <c r="D29" s="139">
        <v>2</v>
      </c>
      <c r="E29" s="140">
        <v>26614.229800000001</v>
      </c>
      <c r="F29" s="141">
        <v>91</v>
      </c>
      <c r="G29" s="141">
        <v>8382.3445085691328</v>
      </c>
      <c r="H29" s="137">
        <v>48.771130000000007</v>
      </c>
      <c r="I29" s="137">
        <v>0</v>
      </c>
      <c r="J29" s="142">
        <v>26663.000930000002</v>
      </c>
      <c r="K29" s="143">
        <v>0</v>
      </c>
      <c r="L29" s="144">
        <v>0</v>
      </c>
      <c r="M29" s="142">
        <v>0</v>
      </c>
      <c r="N29" s="145">
        <f t="shared" si="9"/>
        <v>32668.359800000002</v>
      </c>
      <c r="O29" s="139">
        <f t="shared" si="10"/>
        <v>8888.1445085691321</v>
      </c>
      <c r="P29" s="140">
        <v>0</v>
      </c>
      <c r="Q29" s="141">
        <v>0</v>
      </c>
      <c r="R29" s="141">
        <v>0</v>
      </c>
      <c r="S29" s="137">
        <v>5.3588700000000005</v>
      </c>
      <c r="T29" s="137">
        <v>0</v>
      </c>
      <c r="U29" s="142">
        <v>5.3588700000000005</v>
      </c>
      <c r="V29" s="122">
        <f t="shared" si="8"/>
        <v>8888.1445085691321</v>
      </c>
      <c r="W29" s="122">
        <f t="shared" si="4"/>
        <v>0</v>
      </c>
      <c r="X29" s="122">
        <f t="shared" si="5"/>
        <v>32663.000930000002</v>
      </c>
      <c r="Y29" s="122">
        <f t="shared" si="11"/>
        <v>32663.000930000002</v>
      </c>
      <c r="Z29" s="122">
        <f t="shared" si="6"/>
        <v>0</v>
      </c>
      <c r="AA29" s="122">
        <f t="shared" si="7"/>
        <v>5.3588700000000005</v>
      </c>
      <c r="AC29" s="123"/>
    </row>
    <row r="30" spans="1:29" ht="13.5" thickTop="1" x14ac:dyDescent="0.2">
      <c r="A30" s="146" t="s">
        <v>108</v>
      </c>
      <c r="B30" s="147">
        <v>133760.02000000002</v>
      </c>
      <c r="C30" s="148">
        <v>12392.099999999999</v>
      </c>
      <c r="D30" s="149">
        <v>49</v>
      </c>
      <c r="E30" s="150">
        <v>500481.91610000003</v>
      </c>
      <c r="F30" s="151">
        <v>1804</v>
      </c>
      <c r="G30" s="151">
        <v>136037.41616673835</v>
      </c>
      <c r="H30" s="147">
        <v>40813.317800000004</v>
      </c>
      <c r="I30" s="147">
        <v>16849.4208</v>
      </c>
      <c r="J30" s="152">
        <v>558144.65469999996</v>
      </c>
      <c r="K30" s="153">
        <v>6</v>
      </c>
      <c r="L30" s="151">
        <v>404</v>
      </c>
      <c r="M30" s="152">
        <v>332.31</v>
      </c>
      <c r="N30" s="150">
        <v>702758.09609999997</v>
      </c>
      <c r="O30" s="149">
        <v>149937.04501219161</v>
      </c>
      <c r="P30" s="150">
        <v>4185.25</v>
      </c>
      <c r="Q30" s="151">
        <v>16</v>
      </c>
      <c r="R30" s="151">
        <v>1507.5288454533081</v>
      </c>
      <c r="S30" s="147">
        <v>4484.4821999999995</v>
      </c>
      <c r="T30" s="147">
        <v>1851.3792000000001</v>
      </c>
      <c r="U30" s="154">
        <v>10521.111400000002</v>
      </c>
      <c r="V30" s="122"/>
      <c r="W30" s="122"/>
      <c r="X30" s="122"/>
      <c r="Y30" s="122"/>
      <c r="Z30" s="122"/>
      <c r="AA30" s="122"/>
    </row>
    <row r="31" spans="1:29" ht="13.5" thickBot="1" x14ac:dyDescent="0.25">
      <c r="A31" s="155" t="s">
        <v>107</v>
      </c>
      <c r="B31" s="156">
        <v>3123350.72</v>
      </c>
      <c r="C31" s="157">
        <v>312374.28000000003</v>
      </c>
      <c r="D31" s="158">
        <v>1828</v>
      </c>
      <c r="E31" s="159">
        <v>2652629.7439000001</v>
      </c>
      <c r="F31" s="160">
        <v>10174</v>
      </c>
      <c r="G31" s="160">
        <v>799769.55126869911</v>
      </c>
      <c r="H31" s="156">
        <v>233603.44780000002</v>
      </c>
      <c r="I31" s="156">
        <v>99457.72782</v>
      </c>
      <c r="J31" s="161">
        <v>2985690.91952</v>
      </c>
      <c r="K31" s="162">
        <v>126</v>
      </c>
      <c r="L31" s="160">
        <v>9917</v>
      </c>
      <c r="M31" s="161">
        <v>31838.130000000005</v>
      </c>
      <c r="N31" s="159">
        <v>6268795.6025</v>
      </c>
      <c r="O31" s="158">
        <v>1151799.1458894012</v>
      </c>
      <c r="P31" s="159">
        <v>119817.40760000001</v>
      </c>
      <c r="Q31" s="163">
        <v>394</v>
      </c>
      <c r="R31" s="163">
        <v>42278.08846662139</v>
      </c>
      <c r="S31" s="159">
        <v>13567.1322</v>
      </c>
      <c r="T31" s="159">
        <v>7836.7431799999995</v>
      </c>
      <c r="U31" s="161">
        <v>141221.28298000002</v>
      </c>
      <c r="V31" s="122"/>
      <c r="W31" s="122"/>
      <c r="X31" s="122"/>
      <c r="Y31" s="122"/>
      <c r="Z31" s="122"/>
      <c r="AA31" s="122"/>
    </row>
    <row r="32" spans="1:29" ht="13.5" thickBot="1" x14ac:dyDescent="0.25">
      <c r="A32" s="112">
        <v>43101</v>
      </c>
      <c r="B32" s="113">
        <v>14506.97</v>
      </c>
      <c r="C32" s="114">
        <v>1264.5</v>
      </c>
      <c r="D32" s="115">
        <v>5</v>
      </c>
      <c r="E32" s="116">
        <v>32652.25</v>
      </c>
      <c r="F32" s="117">
        <v>122</v>
      </c>
      <c r="G32" s="117">
        <v>9299.4735780601968</v>
      </c>
      <c r="H32" s="113">
        <v>323.33</v>
      </c>
      <c r="I32" s="118">
        <v>0</v>
      </c>
      <c r="J32" s="119">
        <v>32975.58</v>
      </c>
      <c r="K32" s="120">
        <v>0</v>
      </c>
      <c r="L32" s="121">
        <v>0</v>
      </c>
      <c r="M32" s="119">
        <v>0</v>
      </c>
      <c r="N32" s="116">
        <v>46261.780000000006</v>
      </c>
      <c r="O32" s="115">
        <v>10563.973578060197</v>
      </c>
      <c r="P32" s="116">
        <v>0</v>
      </c>
      <c r="Q32" s="117">
        <v>0</v>
      </c>
      <c r="R32" s="117">
        <v>0</v>
      </c>
      <c r="S32" s="113">
        <v>-1220.77</v>
      </c>
      <c r="T32" s="113">
        <v>0</v>
      </c>
      <c r="U32" s="119">
        <v>-1220.77</v>
      </c>
      <c r="V32" s="122">
        <f>C32+G32</f>
        <v>10563.973578060197</v>
      </c>
      <c r="W32" s="122">
        <f t="shared" ref="W32:W43" si="12">R32</f>
        <v>0</v>
      </c>
      <c r="X32" s="122">
        <f t="shared" ref="X32:X43" si="13">N32-U32-M32</f>
        <v>47482.55</v>
      </c>
      <c r="Y32" s="122">
        <f>N32-U32</f>
        <v>47482.55</v>
      </c>
      <c r="Z32" s="122">
        <f t="shared" ref="Z32:Z43" si="14">X32-Y32</f>
        <v>0</v>
      </c>
      <c r="AA32" s="122">
        <f t="shared" ref="AA32:AA43" si="15">U32</f>
        <v>-1220.77</v>
      </c>
    </row>
    <row r="33" spans="1:27" x14ac:dyDescent="0.2">
      <c r="A33" s="112">
        <v>43132</v>
      </c>
      <c r="B33" s="124">
        <v>5816.59</v>
      </c>
      <c r="C33" s="125">
        <v>505.79999999999995</v>
      </c>
      <c r="D33" s="126">
        <v>2</v>
      </c>
      <c r="E33" s="127">
        <v>42379.25</v>
      </c>
      <c r="F33" s="128">
        <v>173</v>
      </c>
      <c r="G33" s="128">
        <v>12931.82516830691</v>
      </c>
      <c r="H33" s="124">
        <v>3694.1</v>
      </c>
      <c r="I33" s="129">
        <v>5540.3841499999999</v>
      </c>
      <c r="J33" s="130">
        <v>51613.734149999997</v>
      </c>
      <c r="K33" s="131">
        <v>0</v>
      </c>
      <c r="L33" s="132">
        <v>0</v>
      </c>
      <c r="M33" s="133">
        <v>0</v>
      </c>
      <c r="N33" s="127">
        <v>58444.99</v>
      </c>
      <c r="O33" s="126">
        <v>13437.625168306909</v>
      </c>
      <c r="P33" s="127">
        <v>0</v>
      </c>
      <c r="Q33" s="128">
        <v>0</v>
      </c>
      <c r="R33" s="128">
        <v>0</v>
      </c>
      <c r="S33" s="124">
        <v>405.90000000000003</v>
      </c>
      <c r="T33" s="124">
        <v>608.76585</v>
      </c>
      <c r="U33" s="130">
        <v>1014.6658500000001</v>
      </c>
      <c r="V33" s="122">
        <f t="shared" ref="V33:V43" si="16">C33+G33</f>
        <v>13437.625168306909</v>
      </c>
      <c r="W33" s="122">
        <f t="shared" si="12"/>
        <v>0</v>
      </c>
      <c r="X33" s="122">
        <f t="shared" si="13"/>
        <v>57430.32415</v>
      </c>
      <c r="Y33" s="122">
        <f t="shared" ref="Y33:Y43" si="17">N33-U33</f>
        <v>57430.32415</v>
      </c>
      <c r="Z33" s="122">
        <f t="shared" si="14"/>
        <v>0</v>
      </c>
      <c r="AA33" s="122">
        <f t="shared" si="15"/>
        <v>1014.6658500000001</v>
      </c>
    </row>
    <row r="34" spans="1:27" x14ac:dyDescent="0.2">
      <c r="A34" s="134">
        <v>43160</v>
      </c>
      <c r="B34" s="124">
        <v>23765.16</v>
      </c>
      <c r="C34" s="125">
        <v>2023.1999999999998</v>
      </c>
      <c r="D34" s="126">
        <v>8</v>
      </c>
      <c r="E34" s="127">
        <v>44023.25</v>
      </c>
      <c r="F34" s="128">
        <v>170</v>
      </c>
      <c r="G34" s="128">
        <v>12285.526499726828</v>
      </c>
      <c r="H34" s="124">
        <v>0</v>
      </c>
      <c r="I34" s="129">
        <v>0</v>
      </c>
      <c r="J34" s="130">
        <v>44023.25</v>
      </c>
      <c r="K34" s="131">
        <v>0</v>
      </c>
      <c r="L34" s="132">
        <v>0</v>
      </c>
      <c r="M34" s="133">
        <v>0</v>
      </c>
      <c r="N34" s="127">
        <v>67788.41</v>
      </c>
      <c r="O34" s="126">
        <v>14308.726499726828</v>
      </c>
      <c r="P34" s="127">
        <v>0</v>
      </c>
      <c r="Q34" s="128">
        <v>0</v>
      </c>
      <c r="R34" s="128">
        <v>0</v>
      </c>
      <c r="S34" s="124">
        <v>0</v>
      </c>
      <c r="T34" s="124">
        <v>0</v>
      </c>
      <c r="U34" s="130">
        <v>0</v>
      </c>
      <c r="V34" s="122">
        <f t="shared" si="16"/>
        <v>14308.726499726828</v>
      </c>
      <c r="W34" s="122">
        <f t="shared" si="12"/>
        <v>0</v>
      </c>
      <c r="X34" s="122">
        <f t="shared" si="13"/>
        <v>67788.41</v>
      </c>
      <c r="Y34" s="122">
        <f t="shared" si="17"/>
        <v>67788.41</v>
      </c>
      <c r="Z34" s="122">
        <f t="shared" si="14"/>
        <v>0</v>
      </c>
      <c r="AA34" s="122">
        <f t="shared" si="15"/>
        <v>0</v>
      </c>
    </row>
    <row r="35" spans="1:27" x14ac:dyDescent="0.2">
      <c r="A35" s="134">
        <v>43191</v>
      </c>
      <c r="B35" s="124">
        <v>2967.69</v>
      </c>
      <c r="C35" s="125">
        <v>252.89999999999998</v>
      </c>
      <c r="D35" s="126">
        <v>1</v>
      </c>
      <c r="E35" s="127">
        <v>91338</v>
      </c>
      <c r="F35" s="128">
        <v>375</v>
      </c>
      <c r="G35" s="128">
        <v>24893.360423644022</v>
      </c>
      <c r="H35" s="124">
        <v>5322.4052200000006</v>
      </c>
      <c r="I35" s="129">
        <v>0</v>
      </c>
      <c r="J35" s="130">
        <v>96660.405220000001</v>
      </c>
      <c r="K35" s="131">
        <v>0</v>
      </c>
      <c r="L35" s="131">
        <v>0</v>
      </c>
      <c r="M35" s="130">
        <v>0</v>
      </c>
      <c r="N35" s="127">
        <v>100212.91</v>
      </c>
      <c r="O35" s="126">
        <v>25146.260423644024</v>
      </c>
      <c r="P35" s="127">
        <v>0</v>
      </c>
      <c r="Q35" s="128">
        <v>0</v>
      </c>
      <c r="R35" s="128">
        <v>0</v>
      </c>
      <c r="S35" s="124">
        <v>584.81478000000004</v>
      </c>
      <c r="T35" s="124">
        <v>0</v>
      </c>
      <c r="U35" s="130">
        <v>584.81478000000004</v>
      </c>
      <c r="V35" s="122">
        <f t="shared" si="16"/>
        <v>25146.260423644024</v>
      </c>
      <c r="W35" s="122">
        <f t="shared" si="12"/>
        <v>0</v>
      </c>
      <c r="X35" s="122">
        <f t="shared" si="13"/>
        <v>99628.095220000003</v>
      </c>
      <c r="Y35" s="122">
        <f t="shared" si="17"/>
        <v>99628.095220000003</v>
      </c>
      <c r="Z35" s="122">
        <f t="shared" si="14"/>
        <v>0</v>
      </c>
      <c r="AA35" s="122">
        <f t="shared" si="15"/>
        <v>584.81478000000004</v>
      </c>
    </row>
    <row r="36" spans="1:27" x14ac:dyDescent="0.2">
      <c r="A36" s="134">
        <v>43221</v>
      </c>
      <c r="B36" s="124">
        <v>5928.14</v>
      </c>
      <c r="C36" s="125">
        <v>505.79999999999995</v>
      </c>
      <c r="D36" s="126">
        <v>2</v>
      </c>
      <c r="E36" s="127">
        <v>101829.25</v>
      </c>
      <c r="F36" s="128">
        <v>390</v>
      </c>
      <c r="G36" s="128">
        <v>29427.542923408968</v>
      </c>
      <c r="H36" s="124">
        <v>901</v>
      </c>
      <c r="I36" s="129">
        <v>5405.6125700000002</v>
      </c>
      <c r="J36" s="130">
        <v>108135.86257</v>
      </c>
      <c r="K36" s="131">
        <v>0</v>
      </c>
      <c r="L36" s="132">
        <v>0</v>
      </c>
      <c r="M36" s="130">
        <v>0</v>
      </c>
      <c r="N36" s="127">
        <v>115269.45999999999</v>
      </c>
      <c r="O36" s="126">
        <v>30426.025850238235</v>
      </c>
      <c r="P36" s="127">
        <v>512.5</v>
      </c>
      <c r="Q36" s="128">
        <v>1</v>
      </c>
      <c r="R36" s="128">
        <v>492.68292682926835</v>
      </c>
      <c r="S36" s="124">
        <v>99</v>
      </c>
      <c r="T36" s="124">
        <v>593.95743000000004</v>
      </c>
      <c r="U36" s="130">
        <v>1205.4574299999999</v>
      </c>
      <c r="V36" s="122">
        <f t="shared" si="16"/>
        <v>29933.342923408967</v>
      </c>
      <c r="W36" s="122">
        <f t="shared" si="12"/>
        <v>492.68292682926835</v>
      </c>
      <c r="X36" s="122">
        <f t="shared" si="13"/>
        <v>114064.00257</v>
      </c>
      <c r="Y36" s="122">
        <f t="shared" si="17"/>
        <v>114064.00257</v>
      </c>
      <c r="Z36" s="122">
        <f t="shared" si="14"/>
        <v>0</v>
      </c>
      <c r="AA36" s="122">
        <f t="shared" si="15"/>
        <v>1205.4574299999999</v>
      </c>
    </row>
    <row r="37" spans="1:27" x14ac:dyDescent="0.2">
      <c r="A37" s="134">
        <v>43252</v>
      </c>
      <c r="B37" s="124">
        <v>14672.94</v>
      </c>
      <c r="C37" s="125">
        <v>1264.5</v>
      </c>
      <c r="D37" s="126">
        <v>5</v>
      </c>
      <c r="E37" s="127">
        <v>47907</v>
      </c>
      <c r="F37" s="128">
        <v>166</v>
      </c>
      <c r="G37" s="128">
        <v>12916.252708067732</v>
      </c>
      <c r="H37" s="124">
        <v>946.05000000000007</v>
      </c>
      <c r="I37" s="129">
        <v>0</v>
      </c>
      <c r="J37" s="130">
        <v>48853.05</v>
      </c>
      <c r="K37" s="131">
        <v>0</v>
      </c>
      <c r="L37" s="132">
        <v>0</v>
      </c>
      <c r="M37" s="130">
        <v>0</v>
      </c>
      <c r="N37" s="127">
        <v>64654.94</v>
      </c>
      <c r="O37" s="126">
        <v>15166.118561726269</v>
      </c>
      <c r="P37" s="127">
        <v>1025</v>
      </c>
      <c r="Q37" s="128">
        <v>2</v>
      </c>
      <c r="R37" s="128">
        <v>985.36585365853671</v>
      </c>
      <c r="S37" s="124">
        <v>103.95</v>
      </c>
      <c r="T37" s="124">
        <v>0</v>
      </c>
      <c r="U37" s="130">
        <v>1128.95</v>
      </c>
      <c r="V37" s="122">
        <f t="shared" si="16"/>
        <v>14180.752708067732</v>
      </c>
      <c r="W37" s="122">
        <f t="shared" si="12"/>
        <v>985.36585365853671</v>
      </c>
      <c r="X37" s="122">
        <f t="shared" si="13"/>
        <v>63525.990000000005</v>
      </c>
      <c r="Y37" s="122">
        <f t="shared" si="17"/>
        <v>63525.990000000005</v>
      </c>
      <c r="Z37" s="122">
        <f t="shared" si="14"/>
        <v>0</v>
      </c>
      <c r="AA37" s="122">
        <f t="shared" si="15"/>
        <v>1128.95</v>
      </c>
    </row>
    <row r="38" spans="1:27" x14ac:dyDescent="0.2">
      <c r="A38" s="134">
        <v>43282</v>
      </c>
      <c r="B38" s="124">
        <v>11458.52</v>
      </c>
      <c r="C38" s="125">
        <v>1011.5999999999999</v>
      </c>
      <c r="D38" s="126">
        <v>4</v>
      </c>
      <c r="E38" s="127">
        <v>35128.75</v>
      </c>
      <c r="F38" s="128">
        <v>122</v>
      </c>
      <c r="G38" s="128">
        <v>10206.200793186743</v>
      </c>
      <c r="H38" s="124">
        <v>0</v>
      </c>
      <c r="I38" s="129">
        <v>0</v>
      </c>
      <c r="J38" s="130">
        <v>35128.75</v>
      </c>
      <c r="K38" s="131">
        <v>0</v>
      </c>
      <c r="L38" s="132">
        <v>0</v>
      </c>
      <c r="M38" s="130">
        <v>0</v>
      </c>
      <c r="N38" s="127">
        <v>46587.270000000004</v>
      </c>
      <c r="O38" s="126">
        <v>11217.800793186743</v>
      </c>
      <c r="P38" s="127">
        <v>0</v>
      </c>
      <c r="Q38" s="128">
        <v>0</v>
      </c>
      <c r="R38" s="128">
        <v>0</v>
      </c>
      <c r="S38" s="124">
        <v>0</v>
      </c>
      <c r="T38" s="124">
        <v>0</v>
      </c>
      <c r="U38" s="130">
        <v>0</v>
      </c>
      <c r="V38" s="122">
        <f t="shared" si="16"/>
        <v>11217.800793186743</v>
      </c>
      <c r="W38" s="122">
        <f t="shared" si="12"/>
        <v>0</v>
      </c>
      <c r="X38" s="122">
        <f t="shared" si="13"/>
        <v>46587.270000000004</v>
      </c>
      <c r="Y38" s="122">
        <f t="shared" si="17"/>
        <v>46587.270000000004</v>
      </c>
      <c r="Z38" s="122">
        <f t="shared" si="14"/>
        <v>0</v>
      </c>
      <c r="AA38" s="122">
        <f t="shared" si="15"/>
        <v>0</v>
      </c>
    </row>
    <row r="39" spans="1:27" x14ac:dyDescent="0.2">
      <c r="A39" s="134">
        <v>43313</v>
      </c>
      <c r="B39" s="124">
        <v>11597.93</v>
      </c>
      <c r="C39" s="125">
        <v>1011.5999999999999</v>
      </c>
      <c r="D39" s="126">
        <v>4</v>
      </c>
      <c r="E39" s="127">
        <v>77018.25</v>
      </c>
      <c r="F39" s="128">
        <v>260</v>
      </c>
      <c r="G39" s="128">
        <v>18030.988408373938</v>
      </c>
      <c r="H39" s="124">
        <v>218.26725000000002</v>
      </c>
      <c r="I39" s="129">
        <v>3485.9780100000003</v>
      </c>
      <c r="J39" s="130">
        <v>80722.495260000011</v>
      </c>
      <c r="K39" s="131">
        <v>0</v>
      </c>
      <c r="L39" s="132">
        <v>0</v>
      </c>
      <c r="M39" s="130">
        <v>0</v>
      </c>
      <c r="N39" s="127">
        <v>92727.440000000017</v>
      </c>
      <c r="O39" s="126">
        <v>19042.588408373937</v>
      </c>
      <c r="P39" s="127">
        <v>0</v>
      </c>
      <c r="Q39" s="128">
        <v>0</v>
      </c>
      <c r="R39" s="128">
        <v>0</v>
      </c>
      <c r="S39" s="124">
        <v>23.982750000000003</v>
      </c>
      <c r="T39" s="124">
        <v>383.03199000000006</v>
      </c>
      <c r="U39" s="130">
        <v>407.01474000000007</v>
      </c>
      <c r="V39" s="122">
        <f t="shared" si="16"/>
        <v>19042.588408373937</v>
      </c>
      <c r="W39" s="122">
        <f t="shared" si="12"/>
        <v>0</v>
      </c>
      <c r="X39" s="122">
        <f t="shared" si="13"/>
        <v>92320.425260000018</v>
      </c>
      <c r="Y39" s="122">
        <f t="shared" si="17"/>
        <v>92320.425260000018</v>
      </c>
      <c r="Z39" s="122">
        <f t="shared" si="14"/>
        <v>0</v>
      </c>
      <c r="AA39" s="122">
        <f t="shared" si="15"/>
        <v>407.01474000000007</v>
      </c>
    </row>
    <row r="40" spans="1:27" x14ac:dyDescent="0.2">
      <c r="A40" s="134">
        <v>43344</v>
      </c>
      <c r="B40" s="124">
        <v>8558.3799999999992</v>
      </c>
      <c r="C40" s="125">
        <v>758.69999999999993</v>
      </c>
      <c r="D40" s="126">
        <v>3</v>
      </c>
      <c r="E40" s="127">
        <v>0</v>
      </c>
      <c r="F40" s="128">
        <v>0</v>
      </c>
      <c r="G40" s="128">
        <v>0</v>
      </c>
      <c r="H40" s="124">
        <v>0</v>
      </c>
      <c r="I40" s="129">
        <v>0</v>
      </c>
      <c r="J40" s="130">
        <v>0</v>
      </c>
      <c r="K40" s="131">
        <v>0</v>
      </c>
      <c r="L40" s="132">
        <v>0</v>
      </c>
      <c r="M40" s="130">
        <v>0</v>
      </c>
      <c r="N40" s="127">
        <v>8558.3799999999992</v>
      </c>
      <c r="O40" s="126">
        <v>758.69999999999993</v>
      </c>
      <c r="P40" s="127">
        <v>0</v>
      </c>
      <c r="Q40" s="128">
        <v>0</v>
      </c>
      <c r="R40" s="128">
        <v>0</v>
      </c>
      <c r="S40" s="124">
        <v>0</v>
      </c>
      <c r="T40" s="124">
        <v>0</v>
      </c>
      <c r="U40" s="130">
        <v>0</v>
      </c>
      <c r="V40" s="122">
        <f t="shared" si="16"/>
        <v>758.69999999999993</v>
      </c>
      <c r="W40" s="122">
        <f t="shared" si="12"/>
        <v>0</v>
      </c>
      <c r="X40" s="122">
        <f t="shared" si="13"/>
        <v>8558.3799999999992</v>
      </c>
      <c r="Y40" s="122">
        <f t="shared" si="17"/>
        <v>8558.3799999999992</v>
      </c>
      <c r="Z40" s="122">
        <f t="shared" si="14"/>
        <v>0</v>
      </c>
      <c r="AA40" s="122">
        <f t="shared" si="15"/>
        <v>0</v>
      </c>
    </row>
    <row r="41" spans="1:27" x14ac:dyDescent="0.2">
      <c r="A41" s="134">
        <v>43374</v>
      </c>
      <c r="B41" s="124">
        <v>0</v>
      </c>
      <c r="C41" s="125">
        <v>0</v>
      </c>
      <c r="D41" s="126">
        <v>0</v>
      </c>
      <c r="E41" s="127">
        <v>0</v>
      </c>
      <c r="F41" s="128">
        <v>0</v>
      </c>
      <c r="G41" s="128">
        <v>0</v>
      </c>
      <c r="H41" s="124">
        <v>0</v>
      </c>
      <c r="I41" s="129">
        <v>0</v>
      </c>
      <c r="J41" s="130">
        <v>0</v>
      </c>
      <c r="K41" s="131">
        <v>0</v>
      </c>
      <c r="L41" s="132">
        <v>0</v>
      </c>
      <c r="M41" s="135">
        <v>0</v>
      </c>
      <c r="N41" s="127">
        <v>0</v>
      </c>
      <c r="O41" s="126">
        <v>0</v>
      </c>
      <c r="P41" s="127">
        <v>0</v>
      </c>
      <c r="Q41" s="128">
        <v>0</v>
      </c>
      <c r="R41" s="128">
        <v>0</v>
      </c>
      <c r="S41" s="124">
        <v>0</v>
      </c>
      <c r="T41" s="124">
        <v>0</v>
      </c>
      <c r="U41" s="130">
        <v>0</v>
      </c>
      <c r="V41" s="122">
        <f t="shared" si="16"/>
        <v>0</v>
      </c>
      <c r="W41" s="122">
        <f t="shared" si="12"/>
        <v>0</v>
      </c>
      <c r="X41" s="122">
        <f t="shared" si="13"/>
        <v>0</v>
      </c>
      <c r="Y41" s="122">
        <f t="shared" si="17"/>
        <v>0</v>
      </c>
      <c r="Z41" s="122">
        <f t="shared" si="14"/>
        <v>0</v>
      </c>
      <c r="AA41" s="122">
        <f t="shared" si="15"/>
        <v>0</v>
      </c>
    </row>
    <row r="42" spans="1:27" x14ac:dyDescent="0.2">
      <c r="A42" s="134">
        <v>43405</v>
      </c>
      <c r="B42" s="124">
        <v>0</v>
      </c>
      <c r="C42" s="125">
        <v>0</v>
      </c>
      <c r="D42" s="126">
        <v>0</v>
      </c>
      <c r="E42" s="127">
        <v>0</v>
      </c>
      <c r="F42" s="128">
        <v>0</v>
      </c>
      <c r="G42" s="128">
        <v>0</v>
      </c>
      <c r="H42" s="124">
        <v>0</v>
      </c>
      <c r="I42" s="129">
        <v>0</v>
      </c>
      <c r="J42" s="130">
        <v>0</v>
      </c>
      <c r="K42" s="131">
        <v>0</v>
      </c>
      <c r="L42" s="132">
        <v>0</v>
      </c>
      <c r="M42" s="130">
        <v>0</v>
      </c>
      <c r="N42" s="127">
        <v>0</v>
      </c>
      <c r="O42" s="126">
        <v>0</v>
      </c>
      <c r="P42" s="127">
        <v>0</v>
      </c>
      <c r="Q42" s="128">
        <v>0</v>
      </c>
      <c r="R42" s="128">
        <v>0</v>
      </c>
      <c r="S42" s="124">
        <v>0</v>
      </c>
      <c r="T42" s="124">
        <v>0</v>
      </c>
      <c r="U42" s="130">
        <v>0</v>
      </c>
      <c r="V42" s="122">
        <f t="shared" si="16"/>
        <v>0</v>
      </c>
      <c r="W42" s="122">
        <f t="shared" si="12"/>
        <v>0</v>
      </c>
      <c r="X42" s="122">
        <f t="shared" si="13"/>
        <v>0</v>
      </c>
      <c r="Y42" s="122">
        <f t="shared" si="17"/>
        <v>0</v>
      </c>
      <c r="Z42" s="122">
        <f t="shared" si="14"/>
        <v>0</v>
      </c>
      <c r="AA42" s="122">
        <f t="shared" si="15"/>
        <v>0</v>
      </c>
    </row>
    <row r="43" spans="1:27" ht="13.5" thickBot="1" x14ac:dyDescent="0.25">
      <c r="A43" s="136">
        <v>43435</v>
      </c>
      <c r="B43" s="137">
        <v>0</v>
      </c>
      <c r="C43" s="138">
        <v>0</v>
      </c>
      <c r="D43" s="139">
        <v>0</v>
      </c>
      <c r="E43" s="140">
        <v>0</v>
      </c>
      <c r="F43" s="141">
        <v>0</v>
      </c>
      <c r="G43" s="141">
        <v>0</v>
      </c>
      <c r="H43" s="137">
        <v>0</v>
      </c>
      <c r="I43" s="137">
        <v>0</v>
      </c>
      <c r="J43" s="142">
        <v>0</v>
      </c>
      <c r="K43" s="143">
        <v>0</v>
      </c>
      <c r="L43" s="144">
        <v>0</v>
      </c>
      <c r="M43" s="142">
        <v>0</v>
      </c>
      <c r="N43" s="145">
        <v>0</v>
      </c>
      <c r="O43" s="139">
        <v>0</v>
      </c>
      <c r="P43" s="140">
        <v>0</v>
      </c>
      <c r="Q43" s="141">
        <v>0</v>
      </c>
      <c r="R43" s="141">
        <v>0</v>
      </c>
      <c r="S43" s="137">
        <v>0</v>
      </c>
      <c r="T43" s="137">
        <v>0</v>
      </c>
      <c r="U43" s="142">
        <v>0</v>
      </c>
      <c r="V43" s="122">
        <f t="shared" si="16"/>
        <v>0</v>
      </c>
      <c r="W43" s="122">
        <f t="shared" si="12"/>
        <v>0</v>
      </c>
      <c r="X43" s="122">
        <f t="shared" si="13"/>
        <v>0</v>
      </c>
      <c r="Y43" s="122">
        <f t="shared" si="17"/>
        <v>0</v>
      </c>
      <c r="Z43" s="122">
        <f t="shared" si="14"/>
        <v>0</v>
      </c>
      <c r="AA43" s="122">
        <f t="shared" si="15"/>
        <v>0</v>
      </c>
    </row>
    <row r="44" spans="1:27" ht="13.5" thickTop="1" x14ac:dyDescent="0.2">
      <c r="A44" s="146" t="s">
        <v>109</v>
      </c>
      <c r="B44" s="147">
        <v>99272.320000000007</v>
      </c>
      <c r="C44" s="148">
        <v>8598.6</v>
      </c>
      <c r="D44" s="149">
        <v>34</v>
      </c>
      <c r="E44" s="150">
        <v>472276</v>
      </c>
      <c r="F44" s="151">
        <v>1778</v>
      </c>
      <c r="G44" s="151">
        <v>129991.17050277535</v>
      </c>
      <c r="H44" s="147">
        <v>11405.152470000001</v>
      </c>
      <c r="I44" s="147">
        <v>14431.97473</v>
      </c>
      <c r="J44" s="152">
        <v>498113.12719999999</v>
      </c>
      <c r="K44" s="153">
        <v>0</v>
      </c>
      <c r="L44" s="151">
        <v>0</v>
      </c>
      <c r="M44" s="152">
        <v>0</v>
      </c>
      <c r="N44" s="150">
        <v>600505.57999999996</v>
      </c>
      <c r="O44" s="149">
        <v>140067.81928326318</v>
      </c>
      <c r="P44" s="150">
        <v>1537.5</v>
      </c>
      <c r="Q44" s="151">
        <v>3</v>
      </c>
      <c r="R44" s="151">
        <v>1478.0487804878051</v>
      </c>
      <c r="S44" s="147">
        <v>-3.1224699999998435</v>
      </c>
      <c r="T44" s="147">
        <v>1585.7552700000001</v>
      </c>
      <c r="U44" s="154">
        <v>3120.1327999999999</v>
      </c>
      <c r="V44" s="122"/>
      <c r="W44" s="122"/>
      <c r="X44" s="122"/>
      <c r="Y44" s="122"/>
      <c r="Z44" s="122"/>
      <c r="AA44" s="122"/>
    </row>
    <row r="45" spans="1:27" ht="13.5" thickBot="1" x14ac:dyDescent="0.25">
      <c r="A45" s="155" t="s">
        <v>107</v>
      </c>
      <c r="B45" s="156">
        <v>3188991.57</v>
      </c>
      <c r="C45" s="157">
        <v>318190.98000000004</v>
      </c>
      <c r="D45" s="158">
        <v>1851</v>
      </c>
      <c r="E45" s="159">
        <v>3065482.6954000001</v>
      </c>
      <c r="F45" s="160">
        <v>11748</v>
      </c>
      <c r="G45" s="160">
        <v>919406.04958013666</v>
      </c>
      <c r="H45" s="156">
        <v>418879.44066000008</v>
      </c>
      <c r="I45" s="156">
        <v>112706.99588999999</v>
      </c>
      <c r="J45" s="161">
        <v>3597069.1319500003</v>
      </c>
      <c r="K45" s="162">
        <v>136</v>
      </c>
      <c r="L45" s="160">
        <v>10904</v>
      </c>
      <c r="M45" s="161">
        <v>35428.22</v>
      </c>
      <c r="N45" s="159">
        <v>6982784.6340000005</v>
      </c>
      <c r="O45" s="158">
        <v>1281498.3958967431</v>
      </c>
      <c r="P45" s="159">
        <v>132588.15760000001</v>
      </c>
      <c r="Q45" s="163">
        <v>437</v>
      </c>
      <c r="R45" s="163">
        <v>46524.140162525728</v>
      </c>
      <c r="S45" s="159">
        <v>32720.459340000009</v>
      </c>
      <c r="T45" s="159">
        <v>9292.5451099999991</v>
      </c>
      <c r="U45" s="161">
        <v>174601.16205000001</v>
      </c>
      <c r="V45" s="122"/>
      <c r="W45" s="122"/>
      <c r="X45" s="122"/>
      <c r="Y45" s="122"/>
      <c r="Z45" s="122"/>
      <c r="AA45" s="122"/>
    </row>
    <row r="46" spans="1:27" x14ac:dyDescent="0.2">
      <c r="A46" s="164"/>
      <c r="B46" s="165"/>
      <c r="C46" s="166"/>
      <c r="D46" s="166"/>
      <c r="E46" s="165"/>
      <c r="F46" s="167"/>
      <c r="G46" s="167"/>
      <c r="H46" s="165"/>
      <c r="I46" s="165"/>
      <c r="J46" s="165"/>
      <c r="K46" s="167"/>
      <c r="L46" s="167"/>
      <c r="M46" s="165"/>
      <c r="N46" s="165"/>
      <c r="O46" s="166"/>
      <c r="P46" s="165"/>
      <c r="Q46" s="166"/>
      <c r="R46" s="166"/>
      <c r="S46" s="165"/>
      <c r="T46" s="165"/>
      <c r="U46" s="165"/>
      <c r="V46" s="122"/>
      <c r="W46" s="122"/>
      <c r="X46" s="122"/>
      <c r="Y46" s="122"/>
      <c r="Z46" s="122"/>
      <c r="AA46" s="122"/>
    </row>
    <row r="47" spans="1:27" x14ac:dyDescent="0.2">
      <c r="A47" s="164"/>
      <c r="B47" s="165"/>
      <c r="C47" s="166"/>
      <c r="D47" s="166"/>
      <c r="E47" s="165"/>
      <c r="F47" s="167"/>
      <c r="G47" s="167"/>
      <c r="H47" s="165"/>
      <c r="I47" s="165"/>
      <c r="J47" s="165"/>
      <c r="K47" s="167"/>
      <c r="L47" s="167"/>
      <c r="M47" s="165"/>
      <c r="N47" s="165"/>
      <c r="O47" s="166"/>
    </row>
    <row r="48" spans="1:27" x14ac:dyDescent="0.2">
      <c r="A48" s="164" t="s">
        <v>110</v>
      </c>
      <c r="B48" s="165"/>
      <c r="C48" s="166"/>
      <c r="D48" s="166"/>
      <c r="E48" s="165"/>
      <c r="F48" s="167"/>
      <c r="G48" s="167"/>
      <c r="H48" s="165"/>
      <c r="I48" s="165"/>
      <c r="J48" s="165"/>
      <c r="K48" s="167"/>
      <c r="L48" s="167"/>
      <c r="M48" s="165"/>
      <c r="N48" s="165"/>
      <c r="O48" s="166"/>
    </row>
    <row r="49" spans="1:17" x14ac:dyDescent="0.2">
      <c r="A49" s="168"/>
      <c r="K49" s="169"/>
    </row>
    <row r="50" spans="1:17" x14ac:dyDescent="0.2">
      <c r="A50" s="168"/>
      <c r="B50" s="220" t="s">
        <v>111</v>
      </c>
      <c r="C50" s="220"/>
      <c r="D50" s="220"/>
      <c r="E50" s="220"/>
      <c r="K50" s="169"/>
    </row>
    <row r="51" spans="1:17" ht="13.5" thickBot="1" x14ac:dyDescent="0.25">
      <c r="A51" s="168"/>
      <c r="B51" s="170" t="s">
        <v>112</v>
      </c>
      <c r="C51" s="171" t="s">
        <v>113</v>
      </c>
      <c r="D51" s="172" t="s">
        <v>114</v>
      </c>
      <c r="E51" s="171" t="s">
        <v>115</v>
      </c>
      <c r="K51" s="169"/>
      <c r="L51" s="173">
        <v>155597</v>
      </c>
      <c r="M51" t="s">
        <v>116</v>
      </c>
      <c r="N51" s="173">
        <v>157528</v>
      </c>
    </row>
    <row r="52" spans="1:17" x14ac:dyDescent="0.2">
      <c r="A52" s="168"/>
      <c r="B52" s="174">
        <v>2000</v>
      </c>
      <c r="C52" s="169">
        <v>127606.94</v>
      </c>
      <c r="D52" s="14">
        <v>109</v>
      </c>
      <c r="E52" s="169">
        <v>1170.7058715596331</v>
      </c>
      <c r="K52" s="169"/>
      <c r="L52" s="173">
        <v>1550</v>
      </c>
      <c r="M52" t="s">
        <v>117</v>
      </c>
      <c r="N52" s="173">
        <v>0</v>
      </c>
    </row>
    <row r="53" spans="1:17" x14ac:dyDescent="0.2">
      <c r="A53" s="168"/>
      <c r="B53" s="174">
        <v>2001</v>
      </c>
      <c r="C53" s="175">
        <v>196356.31000000003</v>
      </c>
      <c r="D53" s="14">
        <v>156</v>
      </c>
      <c r="E53" s="175">
        <v>1258.6942948717951</v>
      </c>
      <c r="F53" s="169">
        <v>12889.290000000003</v>
      </c>
      <c r="K53" s="169"/>
      <c r="L53" s="173">
        <v>17339</v>
      </c>
      <c r="M53" t="s">
        <v>118</v>
      </c>
      <c r="N53" s="173">
        <v>17357</v>
      </c>
    </row>
    <row r="54" spans="1:17" x14ac:dyDescent="0.2">
      <c r="A54" s="168"/>
      <c r="B54" s="174">
        <v>2002</v>
      </c>
      <c r="C54" s="175">
        <v>199992.03000000003</v>
      </c>
      <c r="D54" s="14">
        <v>150</v>
      </c>
      <c r="E54" s="175">
        <v>1333.2802000000001</v>
      </c>
      <c r="F54">
        <v>12889.29</v>
      </c>
      <c r="K54" s="169"/>
      <c r="L54" s="173">
        <v>174486</v>
      </c>
      <c r="N54" s="173">
        <v>174885</v>
      </c>
    </row>
    <row r="55" spans="1:17" x14ac:dyDescent="0.2">
      <c r="A55" s="168"/>
      <c r="B55" s="174">
        <v>2003</v>
      </c>
      <c r="C55" s="175">
        <v>144560.00999999998</v>
      </c>
      <c r="D55" s="14">
        <v>103</v>
      </c>
      <c r="E55" s="175">
        <v>1403.4952427184464</v>
      </c>
      <c r="J55">
        <v>1380.6</v>
      </c>
      <c r="K55" s="169"/>
      <c r="L55" s="173"/>
      <c r="N55" s="173"/>
    </row>
    <row r="56" spans="1:17" x14ac:dyDescent="0.2">
      <c r="A56" s="168"/>
      <c r="B56" s="174">
        <v>2004</v>
      </c>
      <c r="C56" s="175">
        <v>173084.31000000003</v>
      </c>
      <c r="D56" s="14">
        <v>115</v>
      </c>
      <c r="E56" s="175">
        <v>1505.0809565217394</v>
      </c>
      <c r="K56" s="169"/>
      <c r="L56" s="173">
        <v>157147</v>
      </c>
      <c r="N56" s="173">
        <v>157528</v>
      </c>
    </row>
    <row r="57" spans="1:17" x14ac:dyDescent="0.2">
      <c r="A57" s="168"/>
      <c r="B57" s="174">
        <v>2005</v>
      </c>
      <c r="C57" s="175">
        <v>193265.67</v>
      </c>
      <c r="D57" s="14">
        <v>128</v>
      </c>
      <c r="E57" s="175">
        <v>1509.8880468750001</v>
      </c>
      <c r="G57" s="176" t="s">
        <v>119</v>
      </c>
      <c r="H57" s="176" t="s">
        <v>120</v>
      </c>
      <c r="K57" s="169"/>
      <c r="L57" s="177">
        <v>0.90062813062366032</v>
      </c>
      <c r="N57" s="177">
        <v>0.90075192269205473</v>
      </c>
    </row>
    <row r="58" spans="1:17" x14ac:dyDescent="0.2">
      <c r="A58" s="168"/>
      <c r="B58" s="174">
        <v>2006</v>
      </c>
      <c r="C58" s="175">
        <v>197863.33000000002</v>
      </c>
      <c r="D58" s="14">
        <v>136</v>
      </c>
      <c r="E58" s="175">
        <v>1454.8774264705883</v>
      </c>
      <c r="F58" t="s">
        <v>116</v>
      </c>
      <c r="G58">
        <v>155082</v>
      </c>
      <c r="H58">
        <v>155632</v>
      </c>
      <c r="K58" s="169"/>
      <c r="L58" s="177">
        <v>9.9371869376339655E-2</v>
      </c>
      <c r="N58" s="177">
        <v>9.9248077307945215E-2</v>
      </c>
    </row>
    <row r="59" spans="1:17" x14ac:dyDescent="0.2">
      <c r="A59" s="168"/>
      <c r="B59" s="174">
        <v>2007</v>
      </c>
      <c r="C59" s="175">
        <v>140647.75000000003</v>
      </c>
      <c r="D59" s="14">
        <v>95</v>
      </c>
      <c r="E59" s="175">
        <v>1480.5026315789478</v>
      </c>
      <c r="F59" t="s">
        <v>117</v>
      </c>
      <c r="G59">
        <v>1577</v>
      </c>
      <c r="H59">
        <v>1565</v>
      </c>
      <c r="K59" s="169"/>
      <c r="L59" s="173"/>
    </row>
    <row r="60" spans="1:17" x14ac:dyDescent="0.2">
      <c r="A60" s="168"/>
      <c r="B60" s="174">
        <v>2008</v>
      </c>
      <c r="C60" s="175">
        <v>99176.69</v>
      </c>
      <c r="D60" s="14">
        <v>73</v>
      </c>
      <c r="E60" s="175">
        <v>1358.584794520548</v>
      </c>
      <c r="F60" t="s">
        <v>121</v>
      </c>
      <c r="G60">
        <v>17460</v>
      </c>
      <c r="H60">
        <v>17346</v>
      </c>
      <c r="K60" s="169"/>
      <c r="L60" s="173"/>
    </row>
    <row r="61" spans="1:17" x14ac:dyDescent="0.2">
      <c r="A61" s="168"/>
      <c r="B61" s="174">
        <v>2009</v>
      </c>
      <c r="C61" s="175">
        <v>165210.83000000002</v>
      </c>
      <c r="D61" s="14">
        <v>108</v>
      </c>
      <c r="E61" s="175">
        <v>1529.7299074074076</v>
      </c>
      <c r="F61" t="s">
        <v>122</v>
      </c>
      <c r="G61">
        <v>174119</v>
      </c>
      <c r="H61">
        <v>174543</v>
      </c>
      <c r="K61" s="169"/>
      <c r="L61" s="173"/>
    </row>
    <row r="62" spans="1:17" x14ac:dyDescent="0.2">
      <c r="A62" s="168"/>
      <c r="B62" s="174">
        <v>2010</v>
      </c>
      <c r="C62" s="175">
        <v>296599.23</v>
      </c>
      <c r="D62" s="14">
        <v>136</v>
      </c>
      <c r="E62" s="175">
        <v>2180.8766911764706</v>
      </c>
      <c r="K62" s="169"/>
      <c r="L62" s="173"/>
      <c r="O62">
        <v>122.4</v>
      </c>
      <c r="Q62" s="169">
        <v>242247.49000000008</v>
      </c>
    </row>
    <row r="63" spans="1:17" x14ac:dyDescent="0.2">
      <c r="A63" s="168"/>
      <c r="B63" s="178">
        <v>2011</v>
      </c>
      <c r="C63" s="179">
        <v>254966.91999999998</v>
      </c>
      <c r="D63" s="180">
        <v>136</v>
      </c>
      <c r="E63" s="179">
        <v>1874.7567647058822</v>
      </c>
      <c r="F63" t="s">
        <v>123</v>
      </c>
      <c r="G63">
        <v>156659</v>
      </c>
      <c r="H63">
        <v>157197</v>
      </c>
      <c r="K63" s="169"/>
      <c r="L63" s="173"/>
    </row>
    <row r="64" spans="1:17" x14ac:dyDescent="0.2">
      <c r="A64" s="168"/>
      <c r="B64" s="178">
        <v>2012</v>
      </c>
      <c r="C64" s="179">
        <v>313033.96999999997</v>
      </c>
      <c r="D64" s="181">
        <v>133</v>
      </c>
      <c r="E64" s="179">
        <v>2353.638872180451</v>
      </c>
      <c r="F64" s="182" t="s">
        <v>124</v>
      </c>
      <c r="G64" s="177">
        <v>0.89972375214652045</v>
      </c>
      <c r="H64" s="177">
        <v>0.90062047747546448</v>
      </c>
      <c r="K64" s="169"/>
    </row>
    <row r="65" spans="1:12" x14ac:dyDescent="0.2">
      <c r="A65" s="168"/>
      <c r="B65" s="178">
        <v>2013</v>
      </c>
      <c r="C65" s="179">
        <v>178141.25</v>
      </c>
      <c r="D65" s="181">
        <v>69</v>
      </c>
      <c r="E65" s="179">
        <v>2581.7572463768115</v>
      </c>
      <c r="K65" s="169"/>
    </row>
    <row r="66" spans="1:12" x14ac:dyDescent="0.2">
      <c r="A66" s="168"/>
      <c r="B66" s="178">
        <v>2014</v>
      </c>
      <c r="C66" s="179">
        <v>162924.08000000002</v>
      </c>
      <c r="D66" s="181">
        <v>69</v>
      </c>
      <c r="E66" s="179">
        <v>2361.2185507246381</v>
      </c>
      <c r="G66" s="177">
        <v>0.10027624785347952</v>
      </c>
      <c r="H66" s="177">
        <v>9.9379522524535496E-2</v>
      </c>
      <c r="K66" s="169"/>
    </row>
    <row r="67" spans="1:12" x14ac:dyDescent="0.2">
      <c r="A67" s="168"/>
      <c r="B67" s="178">
        <v>2015</v>
      </c>
      <c r="C67" s="179">
        <v>146161.38</v>
      </c>
      <c r="D67" s="181">
        <v>63</v>
      </c>
      <c r="E67" s="179">
        <v>2320.0219047619048</v>
      </c>
      <c r="G67" s="177"/>
      <c r="H67" s="177"/>
      <c r="K67" s="169"/>
    </row>
    <row r="68" spans="1:12" x14ac:dyDescent="0.2">
      <c r="A68" s="168"/>
      <c r="B68" s="178">
        <v>2016</v>
      </c>
      <c r="C68" s="179">
        <v>100128.55</v>
      </c>
      <c r="D68" s="181">
        <v>38</v>
      </c>
      <c r="E68" s="179">
        <v>2634.9618421052633</v>
      </c>
      <c r="K68" s="169"/>
    </row>
    <row r="69" spans="1:12" ht="13.5" thickBot="1" x14ac:dyDescent="0.25">
      <c r="A69" s="168"/>
      <c r="B69" s="183">
        <v>2017</v>
      </c>
      <c r="C69" s="184">
        <v>94118.14</v>
      </c>
      <c r="D69" s="185">
        <v>35</v>
      </c>
      <c r="E69" s="184">
        <v>2689.0897142857143</v>
      </c>
      <c r="G69" s="176" t="s">
        <v>119</v>
      </c>
      <c r="H69" s="176" t="s">
        <v>120</v>
      </c>
      <c r="K69" s="186" t="s">
        <v>125</v>
      </c>
    </row>
    <row r="70" spans="1:12" ht="13.5" thickTop="1" x14ac:dyDescent="0.2">
      <c r="A70" s="168"/>
      <c r="B70" s="187" t="s">
        <v>126</v>
      </c>
      <c r="C70" s="188">
        <v>2502363.9900000002</v>
      </c>
      <c r="D70" s="189">
        <v>1852</v>
      </c>
      <c r="E70" s="188">
        <v>1351.1684611231103</v>
      </c>
      <c r="F70" s="182" t="s">
        <v>127</v>
      </c>
      <c r="G70" s="169">
        <v>363989.50459999999</v>
      </c>
      <c r="H70" s="169">
        <v>220001.63159999999</v>
      </c>
      <c r="I70" s="182" t="s">
        <v>128</v>
      </c>
      <c r="K70" s="169">
        <v>174532.8131</v>
      </c>
      <c r="L70" s="182" t="s">
        <v>129</v>
      </c>
    </row>
    <row r="71" spans="1:12" x14ac:dyDescent="0.2">
      <c r="A71" s="168"/>
      <c r="B71" s="169"/>
      <c r="C71" s="169"/>
      <c r="D71" s="14"/>
      <c r="E71" s="169"/>
      <c r="F71" s="182" t="s">
        <v>130</v>
      </c>
      <c r="G71" s="169">
        <v>438070.55959999998</v>
      </c>
      <c r="H71" s="169">
        <v>423276.54879999999</v>
      </c>
      <c r="I71" s="182" t="s">
        <v>131</v>
      </c>
      <c r="K71" s="169">
        <v>570198.01760000002</v>
      </c>
      <c r="L71" s="182" t="s">
        <v>132</v>
      </c>
    </row>
    <row r="72" spans="1:12" x14ac:dyDescent="0.2">
      <c r="A72" s="168"/>
      <c r="B72" s="169"/>
      <c r="C72" s="169"/>
      <c r="D72" s="14"/>
      <c r="E72" s="169"/>
      <c r="G72" s="169">
        <v>802060.06419999991</v>
      </c>
      <c r="H72" s="169">
        <v>643278.18039999995</v>
      </c>
      <c r="K72" s="169">
        <v>744730.83070000005</v>
      </c>
    </row>
    <row r="73" spans="1:12" x14ac:dyDescent="0.2">
      <c r="A73" s="168"/>
      <c r="B73" s="169"/>
      <c r="C73" s="169"/>
      <c r="D73" s="14"/>
      <c r="E73" s="169"/>
      <c r="F73" s="182" t="s">
        <v>133</v>
      </c>
      <c r="G73" s="169">
        <v>8857.1880000000001</v>
      </c>
      <c r="H73" s="169">
        <v>6185.3575999999994</v>
      </c>
      <c r="I73" s="182" t="s">
        <v>134</v>
      </c>
      <c r="K73" s="169">
        <v>6478.4622500000005</v>
      </c>
      <c r="L73" s="182" t="s">
        <v>135</v>
      </c>
    </row>
    <row r="74" spans="1:12" x14ac:dyDescent="0.2">
      <c r="A74" s="168"/>
      <c r="B74" s="169"/>
      <c r="C74" s="190">
        <v>114.4</v>
      </c>
      <c r="D74" s="14">
        <v>1716</v>
      </c>
      <c r="E74" s="169"/>
      <c r="F74" s="182" t="s">
        <v>136</v>
      </c>
      <c r="G74" s="169">
        <v>16377.074999999999</v>
      </c>
      <c r="H74" s="169">
        <v>18212.03325</v>
      </c>
      <c r="I74" s="182" t="s">
        <v>137</v>
      </c>
      <c r="K74" s="169">
        <v>29685.932540000002</v>
      </c>
      <c r="L74" s="182" t="s">
        <v>138</v>
      </c>
    </row>
    <row r="75" spans="1:12" x14ac:dyDescent="0.2">
      <c r="A75" s="168"/>
      <c r="B75" s="169"/>
      <c r="C75" s="169"/>
      <c r="D75" s="14"/>
      <c r="E75" s="169"/>
      <c r="G75" s="169">
        <v>25234.262999999999</v>
      </c>
      <c r="H75" s="169">
        <v>24397.39085</v>
      </c>
      <c r="K75" s="169">
        <v>36164.394790000006</v>
      </c>
    </row>
    <row r="76" spans="1:12" x14ac:dyDescent="0.2">
      <c r="A76" s="168"/>
      <c r="B76" s="169"/>
      <c r="C76" s="190">
        <v>128.25</v>
      </c>
      <c r="D76" s="14">
        <v>513</v>
      </c>
      <c r="E76" s="169"/>
      <c r="F76" s="182" t="s">
        <v>139</v>
      </c>
      <c r="G76" s="169">
        <v>355132.31659999996</v>
      </c>
      <c r="H76" s="169">
        <v>213816.274</v>
      </c>
      <c r="I76" s="182" t="s">
        <v>140</v>
      </c>
      <c r="K76" s="169">
        <v>168054.35084999999</v>
      </c>
      <c r="L76" s="182" t="s">
        <v>141</v>
      </c>
    </row>
    <row r="77" spans="1:12" x14ac:dyDescent="0.2">
      <c r="A77" s="168"/>
      <c r="F77" s="182" t="s">
        <v>142</v>
      </c>
      <c r="G77" s="169">
        <v>412836.2966</v>
      </c>
      <c r="H77" s="169">
        <v>405064.51555000001</v>
      </c>
      <c r="I77" s="182" t="s">
        <v>143</v>
      </c>
      <c r="K77" s="169">
        <v>540512.08506000007</v>
      </c>
      <c r="L77" s="182" t="s">
        <v>144</v>
      </c>
    </row>
    <row r="78" spans="1:12" x14ac:dyDescent="0.2">
      <c r="A78" s="168"/>
      <c r="G78" s="169">
        <v>767968.61320000002</v>
      </c>
      <c r="H78" s="169">
        <v>618880.78954999999</v>
      </c>
      <c r="K78" s="169">
        <v>708566.43591</v>
      </c>
    </row>
    <row r="79" spans="1:12" x14ac:dyDescent="0.2">
      <c r="A79" s="168"/>
      <c r="K79" s="169"/>
    </row>
    <row r="80" spans="1:12" x14ac:dyDescent="0.2">
      <c r="A80" s="168"/>
      <c r="K80" s="169"/>
    </row>
    <row r="81" spans="1:12" x14ac:dyDescent="0.2">
      <c r="A81" s="168"/>
      <c r="G81" s="176" t="s">
        <v>119</v>
      </c>
      <c r="H81" s="176" t="s">
        <v>120</v>
      </c>
      <c r="K81" s="169"/>
    </row>
    <row r="82" spans="1:12" x14ac:dyDescent="0.2">
      <c r="A82" s="168"/>
      <c r="F82" s="182" t="s">
        <v>127</v>
      </c>
      <c r="G82" s="173">
        <v>62556.174556075821</v>
      </c>
      <c r="H82" s="173">
        <v>49860.68802240293</v>
      </c>
      <c r="I82" s="182" t="s">
        <v>128</v>
      </c>
      <c r="K82" s="173">
        <v>42441.99845958229</v>
      </c>
      <c r="L82" s="182" t="s">
        <v>129</v>
      </c>
    </row>
    <row r="83" spans="1:12" x14ac:dyDescent="0.2">
      <c r="A83" s="168"/>
      <c r="F83" s="182" t="s">
        <v>130</v>
      </c>
      <c r="G83" s="173">
        <v>112877.28768207123</v>
      </c>
      <c r="H83" s="173">
        <v>97451.934191457069</v>
      </c>
      <c r="I83" s="182" t="s">
        <v>131</v>
      </c>
      <c r="K83" s="173">
        <v>97087.748323970605</v>
      </c>
      <c r="L83" s="182" t="s">
        <v>132</v>
      </c>
    </row>
    <row r="84" spans="1:12" x14ac:dyDescent="0.2">
      <c r="A84" s="168"/>
      <c r="G84" s="173">
        <v>175433.46223814704</v>
      </c>
      <c r="H84" s="173">
        <v>147312.62221385998</v>
      </c>
      <c r="K84" s="173">
        <v>139529.7467835529</v>
      </c>
    </row>
    <row r="85" spans="1:12" x14ac:dyDescent="0.2">
      <c r="A85" s="168"/>
      <c r="F85" s="182" t="s">
        <v>133</v>
      </c>
      <c r="G85" s="173">
        <v>1283.7117280324892</v>
      </c>
      <c r="H85" s="173">
        <v>1651.9851205953159</v>
      </c>
      <c r="I85" s="182" t="s">
        <v>134</v>
      </c>
      <c r="K85" s="173">
        <v>1356.0087811343583</v>
      </c>
      <c r="L85" s="182" t="s">
        <v>135</v>
      </c>
    </row>
    <row r="86" spans="1:12" x14ac:dyDescent="0.2">
      <c r="A86" s="168"/>
      <c r="F86" s="182" t="s">
        <v>136</v>
      </c>
      <c r="G86" s="173">
        <v>4406.0605226588723</v>
      </c>
      <c r="H86" s="173">
        <v>4377.0405167297722</v>
      </c>
      <c r="I86" s="182" t="s">
        <v>137</v>
      </c>
      <c r="K86" s="173">
        <v>3213.140818619589</v>
      </c>
      <c r="L86" s="182" t="s">
        <v>138</v>
      </c>
    </row>
    <row r="87" spans="1:12" x14ac:dyDescent="0.2">
      <c r="A87" s="168"/>
      <c r="G87" s="173">
        <v>5689.7722506913615</v>
      </c>
      <c r="H87" s="173">
        <v>6029.0256373250886</v>
      </c>
      <c r="K87" s="173">
        <v>4569.1495997539478</v>
      </c>
    </row>
    <row r="88" spans="1:12" x14ac:dyDescent="0.2">
      <c r="A88" s="168"/>
      <c r="F88" s="182" t="s">
        <v>139</v>
      </c>
      <c r="G88" s="173">
        <v>61272.462828043332</v>
      </c>
      <c r="H88" s="173">
        <v>48208.702901807614</v>
      </c>
      <c r="I88" s="182" t="s">
        <v>140</v>
      </c>
      <c r="K88" s="173">
        <v>41085.989678447935</v>
      </c>
      <c r="L88" s="182" t="s">
        <v>141</v>
      </c>
    </row>
    <row r="89" spans="1:12" x14ac:dyDescent="0.2">
      <c r="A89" s="168"/>
      <c r="F89" s="182" t="s">
        <v>142</v>
      </c>
      <c r="G89" s="173">
        <v>108471.22715941236</v>
      </c>
      <c r="H89" s="173">
        <v>93074.893674727296</v>
      </c>
      <c r="I89" s="182" t="s">
        <v>143</v>
      </c>
      <c r="K89" s="173">
        <v>93874.607505351014</v>
      </c>
      <c r="L89" s="182" t="s">
        <v>144</v>
      </c>
    </row>
    <row r="90" spans="1:12" x14ac:dyDescent="0.2">
      <c r="A90" s="168"/>
      <c r="G90" s="173">
        <v>169743.6899874557</v>
      </c>
      <c r="H90" s="173">
        <v>141283.59657653491</v>
      </c>
      <c r="K90" s="173">
        <v>134960.59718379896</v>
      </c>
    </row>
    <row r="91" spans="1:12" x14ac:dyDescent="0.2">
      <c r="A91" s="168"/>
      <c r="K91" s="169"/>
    </row>
    <row r="92" spans="1:12" x14ac:dyDescent="0.2">
      <c r="A92" s="168"/>
      <c r="K92" s="169"/>
    </row>
    <row r="93" spans="1:12" x14ac:dyDescent="0.2">
      <c r="A93" s="168"/>
      <c r="K93" s="169"/>
    </row>
    <row r="94" spans="1:12" x14ac:dyDescent="0.2">
      <c r="A94" s="168"/>
      <c r="K94" s="169"/>
    </row>
    <row r="95" spans="1:12" x14ac:dyDescent="0.2">
      <c r="A95" s="168"/>
      <c r="K95" s="169"/>
    </row>
    <row r="96" spans="1:12" x14ac:dyDescent="0.2">
      <c r="A96" s="168"/>
      <c r="K96" s="169"/>
    </row>
    <row r="97" spans="1:11" x14ac:dyDescent="0.2">
      <c r="A97" s="168"/>
      <c r="K97" s="169"/>
    </row>
    <row r="98" spans="1:11" x14ac:dyDescent="0.2">
      <c r="A98" s="168"/>
      <c r="K98" s="169"/>
    </row>
    <row r="99" spans="1:11" x14ac:dyDescent="0.2">
      <c r="A99" s="168"/>
      <c r="K99" s="169"/>
    </row>
    <row r="100" spans="1:11" x14ac:dyDescent="0.2">
      <c r="A100" s="168"/>
      <c r="K100" s="169"/>
    </row>
    <row r="101" spans="1:11" x14ac:dyDescent="0.2">
      <c r="A101" s="168"/>
      <c r="K101" s="169"/>
    </row>
    <row r="102" spans="1:11" x14ac:dyDescent="0.2">
      <c r="A102" s="168"/>
      <c r="K102" s="169"/>
    </row>
    <row r="103" spans="1:11" x14ac:dyDescent="0.2">
      <c r="A103" s="168"/>
      <c r="K103" s="169"/>
    </row>
    <row r="104" spans="1:11" x14ac:dyDescent="0.2">
      <c r="A104" s="168"/>
      <c r="K104" s="169"/>
    </row>
    <row r="105" spans="1:11" x14ac:dyDescent="0.2">
      <c r="A105" s="168"/>
      <c r="K105" s="169"/>
    </row>
    <row r="106" spans="1:11" x14ac:dyDescent="0.2">
      <c r="A106" s="168"/>
      <c r="K106" s="169"/>
    </row>
    <row r="107" spans="1:11" x14ac:dyDescent="0.2">
      <c r="A107" s="168"/>
      <c r="K107" s="169"/>
    </row>
    <row r="108" spans="1:11" x14ac:dyDescent="0.2">
      <c r="A108" s="168"/>
      <c r="K108" s="169"/>
    </row>
    <row r="109" spans="1:11" x14ac:dyDescent="0.2">
      <c r="A109" s="168"/>
      <c r="K109" s="169"/>
    </row>
    <row r="110" spans="1:11" x14ac:dyDescent="0.2">
      <c r="A110" s="168"/>
      <c r="K110" s="169"/>
    </row>
    <row r="111" spans="1:11" x14ac:dyDescent="0.2">
      <c r="A111" s="168"/>
      <c r="K111" s="169"/>
    </row>
    <row r="112" spans="1:11" x14ac:dyDescent="0.2">
      <c r="A112" s="168"/>
      <c r="K112" s="169"/>
    </row>
    <row r="113" spans="1:11" x14ac:dyDescent="0.2">
      <c r="A113" s="168"/>
      <c r="K113" s="169"/>
    </row>
    <row r="114" spans="1:11" x14ac:dyDescent="0.2">
      <c r="A114" s="168"/>
      <c r="K114" s="169"/>
    </row>
    <row r="115" spans="1:11" x14ac:dyDescent="0.2">
      <c r="A115" s="168"/>
      <c r="K115" s="169"/>
    </row>
    <row r="116" spans="1:11" x14ac:dyDescent="0.2">
      <c r="A116" s="168"/>
      <c r="K116" s="169"/>
    </row>
    <row r="117" spans="1:11" x14ac:dyDescent="0.2">
      <c r="A117" s="168"/>
      <c r="K117" s="169"/>
    </row>
    <row r="118" spans="1:11" x14ac:dyDescent="0.2">
      <c r="A118" s="168"/>
      <c r="K118" s="169"/>
    </row>
    <row r="119" spans="1:11" x14ac:dyDescent="0.2">
      <c r="A119" s="168"/>
      <c r="K119" s="169"/>
    </row>
    <row r="120" spans="1:11" x14ac:dyDescent="0.2">
      <c r="A120" s="168"/>
      <c r="K120" s="169"/>
    </row>
    <row r="121" spans="1:11" x14ac:dyDescent="0.2">
      <c r="A121" s="168"/>
      <c r="K121" s="169"/>
    </row>
    <row r="122" spans="1:11" x14ac:dyDescent="0.2">
      <c r="A122" s="168"/>
      <c r="K122" s="169"/>
    </row>
    <row r="123" spans="1:11" x14ac:dyDescent="0.2">
      <c r="A123" s="168"/>
      <c r="K123" s="169"/>
    </row>
    <row r="124" spans="1:11" x14ac:dyDescent="0.2">
      <c r="A124" s="168"/>
      <c r="K124" s="169"/>
    </row>
    <row r="125" spans="1:11" x14ac:dyDescent="0.2">
      <c r="A125" s="168"/>
      <c r="K125" s="169"/>
    </row>
    <row r="126" spans="1:11" x14ac:dyDescent="0.2">
      <c r="A126" s="168"/>
      <c r="K126" s="169"/>
    </row>
    <row r="127" spans="1:11" x14ac:dyDescent="0.2">
      <c r="A127" s="168"/>
      <c r="K127" s="169"/>
    </row>
    <row r="128" spans="1:11" x14ac:dyDescent="0.2">
      <c r="A128" s="168"/>
      <c r="K128" s="169"/>
    </row>
    <row r="129" spans="1:11" x14ac:dyDescent="0.2">
      <c r="A129" s="168"/>
      <c r="K129" s="169"/>
    </row>
    <row r="130" spans="1:11" x14ac:dyDescent="0.2">
      <c r="A130" s="168"/>
      <c r="K130" s="169"/>
    </row>
    <row r="131" spans="1:11" x14ac:dyDescent="0.2">
      <c r="A131" s="168"/>
      <c r="K131" s="169"/>
    </row>
    <row r="132" spans="1:11" x14ac:dyDescent="0.2">
      <c r="A132" s="168"/>
      <c r="K132" s="169"/>
    </row>
    <row r="133" spans="1:11" x14ac:dyDescent="0.2">
      <c r="A133" s="168"/>
      <c r="K133" s="169"/>
    </row>
    <row r="134" spans="1:11" x14ac:dyDescent="0.2">
      <c r="A134" s="168"/>
      <c r="K134" s="169"/>
    </row>
    <row r="135" spans="1:11" x14ac:dyDescent="0.2">
      <c r="A135" s="168"/>
      <c r="K135" s="169"/>
    </row>
    <row r="136" spans="1:11" x14ac:dyDescent="0.2">
      <c r="A136" s="168"/>
      <c r="K136" s="169"/>
    </row>
    <row r="137" spans="1:11" x14ac:dyDescent="0.2">
      <c r="A137" s="168"/>
      <c r="K137" s="169"/>
    </row>
    <row r="138" spans="1:11" x14ac:dyDescent="0.2">
      <c r="A138" s="168"/>
      <c r="K138" s="169"/>
    </row>
    <row r="139" spans="1:11" x14ac:dyDescent="0.2">
      <c r="A139" s="168"/>
      <c r="K139" s="169"/>
    </row>
    <row r="140" spans="1:11" x14ac:dyDescent="0.2">
      <c r="A140" s="168"/>
      <c r="K140" s="169"/>
    </row>
    <row r="141" spans="1:11" x14ac:dyDescent="0.2">
      <c r="A141" s="168"/>
      <c r="K141" s="169"/>
    </row>
    <row r="142" spans="1:11" x14ac:dyDescent="0.2">
      <c r="A142" s="168"/>
      <c r="K142" s="169"/>
    </row>
    <row r="143" spans="1:11" x14ac:dyDescent="0.2">
      <c r="A143" s="168"/>
      <c r="K143" s="169"/>
    </row>
    <row r="144" spans="1:11" x14ac:dyDescent="0.2">
      <c r="A144" s="168"/>
      <c r="K144" s="169"/>
    </row>
    <row r="145" spans="1:11" x14ac:dyDescent="0.2">
      <c r="A145" s="168"/>
      <c r="K145" s="169"/>
    </row>
    <row r="146" spans="1:11" x14ac:dyDescent="0.2">
      <c r="A146" s="168"/>
    </row>
    <row r="147" spans="1:11" x14ac:dyDescent="0.2">
      <c r="A147" s="168"/>
    </row>
    <row r="148" spans="1:11" x14ac:dyDescent="0.2">
      <c r="A148" s="168"/>
    </row>
    <row r="149" spans="1:11" x14ac:dyDescent="0.2">
      <c r="A149" s="168"/>
    </row>
    <row r="150" spans="1:11" x14ac:dyDescent="0.2">
      <c r="A150" s="168"/>
    </row>
    <row r="151" spans="1:11" x14ac:dyDescent="0.2">
      <c r="A151" s="168"/>
    </row>
    <row r="152" spans="1:11" x14ac:dyDescent="0.2">
      <c r="A152" s="168"/>
    </row>
    <row r="153" spans="1:11" x14ac:dyDescent="0.2">
      <c r="A153" s="168"/>
    </row>
    <row r="154" spans="1:11" x14ac:dyDescent="0.2">
      <c r="A154" s="168"/>
    </row>
    <row r="155" spans="1:11" x14ac:dyDescent="0.2">
      <c r="A155" s="168"/>
    </row>
    <row r="156" spans="1:11" x14ac:dyDescent="0.2">
      <c r="A156" s="168"/>
    </row>
  </sheetData>
  <mergeCells count="7">
    <mergeCell ref="P2:U2"/>
    <mergeCell ref="B50:E50"/>
    <mergeCell ref="A1:N1"/>
    <mergeCell ref="A2:D2"/>
    <mergeCell ref="E2:J2"/>
    <mergeCell ref="K2:M2"/>
    <mergeCell ref="N2:O2"/>
  </mergeCells>
  <pageMargins left="0.7" right="0.7" top="0.75" bottom="0.75" header="0.3" footer="0.3"/>
  <pageSetup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zoomScaleSheetLayoutView="90" workbookViewId="0">
      <selection activeCell="E58" sqref="E58"/>
    </sheetView>
  </sheetViews>
  <sheetFormatPr defaultRowHeight="12.75" x14ac:dyDescent="0.2"/>
  <cols>
    <col min="1" max="1" width="36.5703125" style="191" bestFit="1" customWidth="1"/>
    <col min="2" max="2" width="19.7109375" style="191" bestFit="1" customWidth="1"/>
    <col min="3" max="3" width="17.5703125" style="191" bestFit="1" customWidth="1"/>
    <col min="4" max="4" width="4.85546875" style="191" customWidth="1"/>
    <col min="5" max="5" width="20.28515625" style="191" bestFit="1" customWidth="1"/>
    <col min="6" max="6" width="10.28515625" style="191" customWidth="1"/>
    <col min="7" max="7" width="9.140625" style="191" customWidth="1"/>
    <col min="8" max="8" width="9.28515625" style="191" bestFit="1" customWidth="1"/>
    <col min="9" max="16384" width="9.140625" style="191"/>
  </cols>
  <sheetData>
    <row r="1" spans="1:8" x14ac:dyDescent="0.2">
      <c r="A1" s="231" t="s">
        <v>145</v>
      </c>
      <c r="B1" s="231"/>
      <c r="C1" s="231"/>
      <c r="E1" s="231" t="s">
        <v>146</v>
      </c>
      <c r="F1" s="231"/>
      <c r="G1" s="231"/>
      <c r="H1" s="231"/>
    </row>
    <row r="2" spans="1:8" ht="13.5" thickBot="1" x14ac:dyDescent="0.25">
      <c r="A2" s="192" t="s">
        <v>147</v>
      </c>
      <c r="B2" s="192" t="s">
        <v>39</v>
      </c>
      <c r="C2" s="192" t="s">
        <v>57</v>
      </c>
      <c r="E2" s="193" t="s">
        <v>148</v>
      </c>
      <c r="F2" s="193" t="s">
        <v>149</v>
      </c>
      <c r="G2" s="193" t="s">
        <v>150</v>
      </c>
      <c r="H2" s="194" t="s">
        <v>151</v>
      </c>
    </row>
    <row r="3" spans="1:8" ht="13.5" thickTop="1" x14ac:dyDescent="0.2">
      <c r="A3" s="195" t="s">
        <v>152</v>
      </c>
      <c r="B3" s="196">
        <f>279249.86+588827.07</f>
        <v>868076.92999999993</v>
      </c>
      <c r="C3" s="196">
        <f>3857.98+3120.13</f>
        <v>6978.1100000000006</v>
      </c>
      <c r="E3" s="197" t="s">
        <v>153</v>
      </c>
      <c r="F3" s="198">
        <v>950</v>
      </c>
      <c r="G3" s="198">
        <v>18</v>
      </c>
      <c r="H3" s="199">
        <f>F3*G3</f>
        <v>17100</v>
      </c>
    </row>
    <row r="4" spans="1:8" x14ac:dyDescent="0.2">
      <c r="A4" s="195" t="s">
        <v>154</v>
      </c>
      <c r="B4" s="200">
        <f>(0.491*0.33+0.497*0.67)</f>
        <v>0.49502000000000002</v>
      </c>
      <c r="C4" s="200">
        <f>B4</f>
        <v>0.49502000000000002</v>
      </c>
      <c r="E4" s="201" t="s">
        <v>155</v>
      </c>
      <c r="F4" s="199">
        <v>400</v>
      </c>
      <c r="G4" s="199">
        <v>15</v>
      </c>
      <c r="H4" s="199">
        <f>F4*G4</f>
        <v>6000</v>
      </c>
    </row>
    <row r="5" spans="1:8" x14ac:dyDescent="0.2">
      <c r="A5" s="195" t="s">
        <v>156</v>
      </c>
      <c r="B5" s="199">
        <f>60485+137831</f>
        <v>198316</v>
      </c>
      <c r="C5" s="199">
        <f>93+1478</f>
        <v>1571</v>
      </c>
      <c r="E5" s="201" t="s">
        <v>157</v>
      </c>
      <c r="F5" s="199">
        <v>300</v>
      </c>
      <c r="G5" s="199">
        <v>13</v>
      </c>
      <c r="H5" s="199">
        <f>F5*G5</f>
        <v>3900</v>
      </c>
    </row>
    <row r="6" spans="1:8" x14ac:dyDescent="0.2">
      <c r="A6" s="195" t="s">
        <v>158</v>
      </c>
      <c r="B6" s="202">
        <f>F9</f>
        <v>17.303872889771601</v>
      </c>
      <c r="C6" s="202">
        <f>F22</f>
        <v>16.413793103448278</v>
      </c>
      <c r="E6" s="201" t="s">
        <v>159</v>
      </c>
      <c r="F6" s="199">
        <v>250</v>
      </c>
      <c r="G6" s="199">
        <v>20</v>
      </c>
      <c r="H6" s="199">
        <f>F6*G6</f>
        <v>5000</v>
      </c>
    </row>
    <row r="7" spans="1:8" ht="13.5" thickBot="1" x14ac:dyDescent="0.25">
      <c r="A7" s="195" t="s">
        <v>160</v>
      </c>
      <c r="B7" s="196">
        <f>(B5*B4)*B6</f>
        <v>1698727.886421053</v>
      </c>
      <c r="C7" s="196">
        <f>(C5*C4)*C6</f>
        <v>12764.619859310345</v>
      </c>
      <c r="E7" s="201" t="s">
        <v>86</v>
      </c>
      <c r="F7" s="203">
        <v>114</v>
      </c>
      <c r="G7" s="203">
        <v>25</v>
      </c>
      <c r="H7" s="203">
        <f>F7*G7</f>
        <v>2850</v>
      </c>
    </row>
    <row r="8" spans="1:8" ht="13.5" thickTop="1" x14ac:dyDescent="0.2">
      <c r="A8" s="195" t="s">
        <v>161</v>
      </c>
      <c r="B8" s="196">
        <f>ROUND(NPV(B10,B7),0)</f>
        <v>1576838</v>
      </c>
      <c r="C8" s="204">
        <f>ROUND(NPV(C10,C7),0)</f>
        <v>11849</v>
      </c>
      <c r="E8" s="201" t="s">
        <v>126</v>
      </c>
      <c r="F8" s="199">
        <f>SUM(F3:F7)</f>
        <v>2014</v>
      </c>
      <c r="G8" s="199"/>
      <c r="H8" s="199">
        <f>SUM(H3:H7)</f>
        <v>34850</v>
      </c>
    </row>
    <row r="9" spans="1:8" x14ac:dyDescent="0.2">
      <c r="A9" s="195" t="s">
        <v>162</v>
      </c>
      <c r="B9" s="204">
        <f>B8-B3</f>
        <v>708761.07000000007</v>
      </c>
      <c r="C9" s="204">
        <f>C8-C3</f>
        <v>4870.8899999999994</v>
      </c>
      <c r="E9" s="205" t="s">
        <v>163</v>
      </c>
      <c r="F9" s="206">
        <f>H8/F8</f>
        <v>17.303872889771601</v>
      </c>
      <c r="G9" s="207"/>
      <c r="H9" s="207"/>
    </row>
    <row r="10" spans="1:8" x14ac:dyDescent="0.2">
      <c r="A10" s="195" t="s">
        <v>164</v>
      </c>
      <c r="B10" s="208">
        <v>7.7299999999999994E-2</v>
      </c>
      <c r="C10" s="208">
        <f>B10</f>
        <v>7.7299999999999994E-2</v>
      </c>
    </row>
    <row r="11" spans="1:8" x14ac:dyDescent="0.2">
      <c r="A11" s="195" t="s">
        <v>165</v>
      </c>
      <c r="B11" s="209">
        <v>0.15</v>
      </c>
      <c r="C11" s="209">
        <v>0.15</v>
      </c>
      <c r="E11" s="231" t="s">
        <v>166</v>
      </c>
      <c r="F11" s="231"/>
      <c r="G11" s="231"/>
      <c r="H11" s="231"/>
    </row>
    <row r="12" spans="1:8" ht="13.5" thickBot="1" x14ac:dyDescent="0.25">
      <c r="A12" s="210" t="s">
        <v>167</v>
      </c>
      <c r="B12" s="211">
        <f>B9*B11</f>
        <v>106314.16050000001</v>
      </c>
      <c r="C12" s="211">
        <f>C9*C11</f>
        <v>730.63349999999991</v>
      </c>
      <c r="E12" s="193" t="s">
        <v>148</v>
      </c>
      <c r="F12" s="193" t="s">
        <v>149</v>
      </c>
      <c r="G12" s="193" t="s">
        <v>150</v>
      </c>
      <c r="H12" s="194" t="s">
        <v>151</v>
      </c>
    </row>
    <row r="13" spans="1:8" ht="14.25" thickTop="1" thickBot="1" x14ac:dyDescent="0.25">
      <c r="A13" s="212" t="s">
        <v>168</v>
      </c>
      <c r="B13" s="213">
        <v>1197907.46</v>
      </c>
      <c r="C13" s="213">
        <v>73476.11</v>
      </c>
      <c r="E13" s="197" t="s">
        <v>153</v>
      </c>
      <c r="F13" s="198">
        <v>100</v>
      </c>
      <c r="G13" s="198">
        <v>18</v>
      </c>
      <c r="H13" s="199">
        <f t="shared" ref="H13:H20" si="0">F13*G13</f>
        <v>1800</v>
      </c>
    </row>
    <row r="14" spans="1:8" ht="13.15" customHeight="1" thickTop="1" x14ac:dyDescent="0.2">
      <c r="A14" s="214" t="s">
        <v>169</v>
      </c>
      <c r="B14" s="215">
        <f>((13991-93+24911-0+12788-0+8888-0+10564-0+13438-0)*0.1534)+((14309-0+25146-0)*0.14483)+((30426-493+15166-985+11218-0+19043-0)*0.1725)</f>
        <v>31504.260949999996</v>
      </c>
      <c r="C14" s="215">
        <f>((93+0+0+0+0+0)*0.1534)+((0+0)*0.14483)+((493+985+0+0)*0.1725)</f>
        <v>269.22120000000001</v>
      </c>
      <c r="E14" s="201" t="s">
        <v>155</v>
      </c>
      <c r="F14" s="199">
        <v>10</v>
      </c>
      <c r="G14" s="199">
        <v>15</v>
      </c>
      <c r="H14" s="199">
        <f t="shared" si="0"/>
        <v>150</v>
      </c>
    </row>
    <row r="15" spans="1:8" ht="12.4" customHeight="1" x14ac:dyDescent="0.2">
      <c r="E15" s="201" t="s">
        <v>157</v>
      </c>
      <c r="F15" s="199">
        <v>10</v>
      </c>
      <c r="G15" s="199">
        <v>13</v>
      </c>
      <c r="H15" s="199">
        <f t="shared" si="0"/>
        <v>130</v>
      </c>
    </row>
    <row r="16" spans="1:8" ht="12.4" customHeight="1" x14ac:dyDescent="0.2">
      <c r="E16" s="201" t="s">
        <v>159</v>
      </c>
      <c r="F16" s="199">
        <v>5</v>
      </c>
      <c r="G16" s="199">
        <v>20</v>
      </c>
      <c r="H16" s="199">
        <f t="shared" si="0"/>
        <v>100</v>
      </c>
    </row>
    <row r="17" spans="1:8" ht="12.4" customHeight="1" x14ac:dyDescent="0.2">
      <c r="E17" s="201" t="s">
        <v>170</v>
      </c>
      <c r="F17" s="199">
        <v>5</v>
      </c>
      <c r="G17" s="199">
        <v>8</v>
      </c>
      <c r="H17" s="199">
        <f t="shared" si="0"/>
        <v>40</v>
      </c>
    </row>
    <row r="18" spans="1:8" x14ac:dyDescent="0.2">
      <c r="A18" s="216"/>
      <c r="E18" s="201" t="s">
        <v>171</v>
      </c>
      <c r="F18" s="199">
        <v>5</v>
      </c>
      <c r="G18" s="199">
        <v>12</v>
      </c>
      <c r="H18" s="199">
        <f t="shared" si="0"/>
        <v>60</v>
      </c>
    </row>
    <row r="19" spans="1:8" x14ac:dyDescent="0.2">
      <c r="A19" s="230" t="s">
        <v>172</v>
      </c>
      <c r="B19" s="230"/>
      <c r="C19" s="230"/>
      <c r="E19" s="201" t="s">
        <v>173</v>
      </c>
      <c r="F19" s="199">
        <v>5</v>
      </c>
      <c r="G19" s="199">
        <v>10</v>
      </c>
      <c r="H19" s="199">
        <f t="shared" si="0"/>
        <v>50</v>
      </c>
    </row>
    <row r="20" spans="1:8" ht="13.5" thickBot="1" x14ac:dyDescent="0.25">
      <c r="A20" s="230" t="s">
        <v>174</v>
      </c>
      <c r="B20" s="230"/>
      <c r="C20" s="230"/>
      <c r="E20" s="201" t="s">
        <v>175</v>
      </c>
      <c r="F20" s="203">
        <v>5</v>
      </c>
      <c r="G20" s="203">
        <v>10</v>
      </c>
      <c r="H20" s="203">
        <f t="shared" si="0"/>
        <v>50</v>
      </c>
    </row>
    <row r="21" spans="1:8" ht="13.5" thickTop="1" x14ac:dyDescent="0.2">
      <c r="A21" s="230" t="s">
        <v>176</v>
      </c>
      <c r="B21" s="230"/>
      <c r="C21" s="230"/>
      <c r="E21" s="201" t="s">
        <v>126</v>
      </c>
      <c r="F21" s="199">
        <f>SUM(F13:F20)</f>
        <v>145</v>
      </c>
      <c r="G21" s="199"/>
      <c r="H21" s="199">
        <f>SUM(H13:H20)</f>
        <v>2380</v>
      </c>
    </row>
    <row r="22" spans="1:8" x14ac:dyDescent="0.2">
      <c r="A22" s="230" t="s">
        <v>177</v>
      </c>
      <c r="B22" s="230"/>
      <c r="C22" s="230"/>
      <c r="E22" s="205" t="s">
        <v>163</v>
      </c>
      <c r="F22" s="206">
        <f>H21/F21</f>
        <v>16.413793103448278</v>
      </c>
      <c r="G22" s="207"/>
      <c r="H22" s="207"/>
    </row>
  </sheetData>
  <mergeCells count="7">
    <mergeCell ref="A22:C22"/>
    <mergeCell ref="A1:C1"/>
    <mergeCell ref="E1:H1"/>
    <mergeCell ref="E11:H11"/>
    <mergeCell ref="A19:C19"/>
    <mergeCell ref="A20:C20"/>
    <mergeCell ref="A21:C21"/>
  </mergeCells>
  <pageMargins left="0.7" right="0.7" top="0.75" bottom="0.75" header="0.3" footer="0.3"/>
  <pageSetup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DLSA</vt:lpstr>
      <vt:lpstr>2018</vt:lpstr>
      <vt:lpstr>DSMRC Recoveries &amp; Sales</vt:lpstr>
      <vt:lpstr>DSMRC Costs</vt:lpstr>
      <vt:lpstr>DIA + DLSA Revenue</vt:lpstr>
      <vt:lpstr>DLSA!Print_Area</vt:lpstr>
      <vt:lpstr>'DSMRC Costs'!Print_Area</vt:lpstr>
      <vt:lpstr>'2018'!Print_Titles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 Croissant</dc:creator>
  <cp:lastModifiedBy>Hinton, Daniel E (PSC)</cp:lastModifiedBy>
  <dcterms:created xsi:type="dcterms:W3CDTF">2018-11-09T14:12:35Z</dcterms:created>
  <dcterms:modified xsi:type="dcterms:W3CDTF">2018-11-09T14:58:34Z</dcterms:modified>
</cp:coreProperties>
</file>