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DLSA" sheetId="1" r:id="rId1"/>
    <sheet name="2019" sheetId="2" r:id="rId2"/>
    <sheet name="DSMRC Costs" sheetId="3" r:id="rId3"/>
    <sheet name="DSMRC Recoveries &amp; Sales" sheetId="4" r:id="rId4"/>
    <sheet name="DIA + DLSA Revenue" sheetId="5" r:id="rId5"/>
  </sheets>
  <externalReferences>
    <externalReference r:id="rId8"/>
  </externalReferences>
  <definedNames>
    <definedName name="____W.O.R.K.B.O.O.K..C.O.N.T.E.N.T.S____" localSheetId="1">#REF!</definedName>
    <definedName name="____W.O.R.K.B.O.O.K..C.O.N.T.E.N.T.S____">#REF!</definedName>
    <definedName name="_xlnm.Print_Area" localSheetId="0">'DLSA'!$A$1:$G$77</definedName>
    <definedName name="_xlnm.Print_Area" localSheetId="2">'DSMRC Costs'!$A$1:$U$32</definedName>
    <definedName name="_xlnm.Print_Titles" localSheetId="1">'2019'!$1:$5</definedName>
    <definedName name="SAPCrosstab1" localSheetId="1">#REF!</definedName>
    <definedName name="SAPCrosstab1">#REF!</definedName>
    <definedName name="tbl_InterestRates">'[1]Interest Rates'!#REF!</definedName>
  </definedNames>
  <calcPr fullCalcOnLoad="1"/>
</workbook>
</file>

<file path=xl/sharedStrings.xml><?xml version="1.0" encoding="utf-8"?>
<sst xmlns="http://schemas.openxmlformats.org/spreadsheetml/2006/main" count="223" uniqueCount="131">
  <si>
    <t>Atmos Energy Corporation</t>
  </si>
  <si>
    <t>Kentucky/Mid-States Division</t>
  </si>
  <si>
    <t>Demand Side Management</t>
  </si>
  <si>
    <t>Lost Sales Adjustment (DLSA) Calculation</t>
  </si>
  <si>
    <t>To Be Effective January 1, 2020</t>
  </si>
  <si>
    <t>Overview</t>
  </si>
  <si>
    <t>To effectively promote and execute the program, the Company shall recover the annual lost sales attributable</t>
  </si>
  <si>
    <t xml:space="preserve">to customer conservation/efficiency created as a result of the Program. This aligns the Company’s interest </t>
  </si>
  <si>
    <t xml:space="preserve">with that of its customers by reducing the correlation between volume and revenue for those customers who </t>
  </si>
  <si>
    <t xml:space="preserve">elect to participate in the program. The lost sales are the estimated conservation, per participant, times the </t>
  </si>
  <si>
    <t>base rate for the applicable customer. The goal is to make the Company whole for promoting the program.</t>
  </si>
  <si>
    <t>Lost sales are based on the cumulative lost sales since the program inception and will reset when the Company</t>
  </si>
  <si>
    <t>completes a general rate case.</t>
  </si>
  <si>
    <t>G-1 Residential</t>
  </si>
  <si>
    <t>Line</t>
  </si>
  <si>
    <t>Month</t>
  </si>
  <si>
    <t>Ccf Savings</t>
  </si>
  <si>
    <t>Distribution Charge</t>
  </si>
  <si>
    <t>Lost Sales</t>
  </si>
  <si>
    <t>(a)</t>
  </si>
  <si>
    <t>(b)</t>
  </si>
  <si>
    <t>(c)</t>
  </si>
  <si>
    <t>(d)</t>
  </si>
  <si>
    <t xml:space="preserve">Total </t>
  </si>
  <si>
    <t xml:space="preserve">Annual Expected Residential Sales (Mcf) </t>
  </si>
  <si>
    <t>DLSA (per Mcf)</t>
  </si>
  <si>
    <t>G-1 Commercial</t>
  </si>
  <si>
    <t xml:space="preserve">Annual Expected Commercial Sales (Mcf) </t>
  </si>
  <si>
    <t>ATMOS ENERGY CORPORATION</t>
  </si>
  <si>
    <t>DSM Balancing Adjustment</t>
  </si>
  <si>
    <t>DSMRC = DCRC + DLSA + DIA + DBA</t>
  </si>
  <si>
    <t>G-1 Residental</t>
  </si>
  <si>
    <t>(e)</t>
  </si>
  <si>
    <t>(f)</t>
  </si>
  <si>
    <t>(g)</t>
  </si>
  <si>
    <t>(h)</t>
  </si>
  <si>
    <t>Under/(Over)</t>
  </si>
  <si>
    <t>DSMRC</t>
  </si>
  <si>
    <t>DIA + DLSA</t>
  </si>
  <si>
    <t>Residential</t>
  </si>
  <si>
    <t>Billed</t>
  </si>
  <si>
    <t>Filed</t>
  </si>
  <si>
    <t>Rate</t>
  </si>
  <si>
    <t>Recoveries</t>
  </si>
  <si>
    <t>Costs</t>
  </si>
  <si>
    <t>Revenue</t>
  </si>
  <si>
    <t>Balance</t>
  </si>
  <si>
    <t>Sales</t>
  </si>
  <si>
    <t>Difference</t>
  </si>
  <si>
    <t>Previous DBA Balancing Adjustment</t>
  </si>
  <si>
    <t>(Mcf)</t>
  </si>
  <si>
    <t>Total Residential DSMRC Balance</t>
  </si>
  <si>
    <t>DBA = DSM Balancing Adjustment</t>
  </si>
  <si>
    <t>DCRC = DSM Cost Recovery - Current</t>
  </si>
  <si>
    <t>DLSA = DSM Lost Sales Adjustment</t>
  </si>
  <si>
    <t>DIA = DSM Incentive Adjustment</t>
  </si>
  <si>
    <t>DSMRC Residential Rate G-1</t>
  </si>
  <si>
    <t>Commercial</t>
  </si>
  <si>
    <t>Total Commercial DSMRC Balance</t>
  </si>
  <si>
    <t>DSMRC Commercial Rate G-1</t>
  </si>
  <si>
    <t>ATMOS CARES ANNUAL TOTALS</t>
  </si>
  <si>
    <t>Weatherization</t>
  </si>
  <si>
    <t>Residential Rebates</t>
  </si>
  <si>
    <t>Education</t>
  </si>
  <si>
    <t>Monthly Totals</t>
  </si>
  <si>
    <t>Commercial Rebates</t>
  </si>
  <si>
    <t>Payment Month</t>
  </si>
  <si>
    <t>Expenses</t>
  </si>
  <si>
    <t>Houses</t>
  </si>
  <si>
    <t>Rebate Expenses</t>
  </si>
  <si>
    <t>Rebates Issued</t>
  </si>
  <si>
    <t>Promo &amp; Misc.</t>
  </si>
  <si>
    <t>Qtly. Fees</t>
  </si>
  <si>
    <t>Presentations</t>
  </si>
  <si>
    <t># of Students</t>
  </si>
  <si>
    <t>Expenditures</t>
  </si>
  <si>
    <t>Residential Ccf</t>
  </si>
  <si>
    <t>Commercial Ccf</t>
  </si>
  <si>
    <t>Residential Expenditures - Education Expense - Commerical Expenditures</t>
  </si>
  <si>
    <t>Residential Expenditures - Commerical Expenditures</t>
  </si>
  <si>
    <t>Commerical Expenditures</t>
  </si>
  <si>
    <t>Cum. Totals</t>
  </si>
  <si>
    <t>2018 Totals</t>
  </si>
  <si>
    <t>2019 Totals</t>
  </si>
  <si>
    <t>Price Key</t>
  </si>
  <si>
    <t>KYCM_DCDS</t>
  </si>
  <si>
    <t>KYRS_DCDS</t>
  </si>
  <si>
    <t>Overall Result</t>
  </si>
  <si>
    <t>Com</t>
  </si>
  <si>
    <t>Res</t>
  </si>
  <si>
    <t/>
  </si>
  <si>
    <t>Quantity</t>
  </si>
  <si>
    <t>Amount</t>
  </si>
  <si>
    <t>MCF</t>
  </si>
  <si>
    <t>Calendar Year/Month</t>
  </si>
  <si>
    <t>CCF</t>
  </si>
  <si>
    <t>$</t>
  </si>
  <si>
    <t>DSM Incentive Adjustment 9/1/2018 - 8/31/2019</t>
  </si>
  <si>
    <t>Residential Measure Life Weighted Average</t>
  </si>
  <si>
    <t>Factors</t>
  </si>
  <si>
    <t>Measure</t>
  </si>
  <si>
    <t># of Units</t>
  </si>
  <si>
    <t>Years</t>
  </si>
  <si>
    <t>Total</t>
  </si>
  <si>
    <t>Program Costs</t>
  </si>
  <si>
    <t>Furnaces</t>
  </si>
  <si>
    <t>Ccf Rate</t>
  </si>
  <si>
    <t>Thermostats</t>
  </si>
  <si>
    <t>Ccf Saved</t>
  </si>
  <si>
    <t>Tank Water Heaters</t>
  </si>
  <si>
    <t>Measure Life</t>
  </si>
  <si>
    <t>Tankless Water Heaters</t>
  </si>
  <si>
    <t>Commodity Savings</t>
  </si>
  <si>
    <t>Present Value CS</t>
  </si>
  <si>
    <t>Totals</t>
  </si>
  <si>
    <t>Program Benefit</t>
  </si>
  <si>
    <t>Weighted Average</t>
  </si>
  <si>
    <t>Discount Rate</t>
  </si>
  <si>
    <t>Incentive</t>
  </si>
  <si>
    <t>Commercial Measure Life Weighted Average</t>
  </si>
  <si>
    <t>Annual DSM Incentive Adjustment</t>
  </si>
  <si>
    <t>Cumulative DSM Incentive Adjustment</t>
  </si>
  <si>
    <t>DSM Lost Sales Adjustment</t>
  </si>
  <si>
    <t>Commercial Fryer</t>
  </si>
  <si>
    <t>Commercial Griddle</t>
  </si>
  <si>
    <t>Cell B3 = Atmos Cares Report tab "Total" Column N Sep18-Aug19</t>
  </si>
  <si>
    <t>Commercial Oven</t>
  </si>
  <si>
    <t>Cell C3 = Atmos Cares Report "Total" tab Column U Sep18-Aug19</t>
  </si>
  <si>
    <t>Commercial Steamer</t>
  </si>
  <si>
    <t>Cell B5 = Atmos Cares Report tab "Total" Column O Sep18-Aug19</t>
  </si>
  <si>
    <t>Cell C5 = Atmos Cares Report "Total" tab Column R Sep18-Aug19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</si>
</sst>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[$-409]mmm\-yy;@"/>
    <numFmt numFmtId="166" formatCode="&quot;$&quot;#,##0.0000_);\(&quot;$&quot;#,##0.0000\)"/>
    <numFmt numFmtId="167" formatCode="_(&quot;$&quot;* #,##0.0000_);_(&quot;$&quot;* \(#,##0.0000\);_(&quot;$&quot;* &quot;-&quot;??_);_(@_)"/>
    <numFmt numFmtId="168" formatCode="_(* #,##0_);_(* \(#,##0\);_(* &quot;-&quot;??_);_(@_)"/>
    <numFmt numFmtId="169" formatCode="#,##0.0000_);[Red]\(#,##0.0000\)"/>
    <numFmt numFmtId="170" formatCode="_(* #,##0.0000_);_(* \(#,##0.0000\);_(* &quot;-&quot;??_);_(@_)"/>
    <numFmt numFmtId="171" formatCode="###,000"/>
    <numFmt numFmtId="172" formatCode="#,##0.00;\-#,##0.00;#,##0.00"/>
    <numFmt numFmtId="173" formatCode="&quot;$&quot;#,##0.00"/>
    <numFmt numFmtId="174" formatCode="_(* #,##0.00000_);_(* \(#,##0.00000\);_(* &quot;-&quot;??_);_(@_)"/>
    <numFmt numFmtId="175" formatCode="#,##0;\-#,##0;#,##0"/>
    <numFmt numFmtId="176" formatCode="_(&quot;$&quot;* #,##0.000_);_(&quot;$&quot;* \(#,##0.000\);_(&quot;$&quot;* &quot;-&quot;???_);_(@_)"/>
    <numFmt numFmtId="177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Verdana"/>
      <family val="2"/>
    </font>
    <font>
      <b/>
      <sz val="16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double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>
        <color rgb="FF808080"/>
      </left>
      <right style="thin">
        <color rgb="FF808080"/>
      </right>
      <top style="thin">
        <color theme="3" tint="-0.24993999302387238"/>
      </top>
      <bottom style="thin">
        <color rgb="FF808080"/>
      </bottom>
    </border>
    <border>
      <left style="thin">
        <color rgb="FF808080"/>
      </left>
      <right style="thin">
        <color theme="3" tint="-0.24993999302387238"/>
      </right>
      <top style="thin">
        <color theme="3" tint="-0.24993999302387238"/>
      </top>
      <bottom style="thin">
        <color rgb="FF808080"/>
      </bottom>
    </border>
    <border>
      <left style="thin">
        <color rgb="FF808080"/>
      </left>
      <right style="thin">
        <color theme="3" tint="-0.24993999302387238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3999302387238"/>
      </bottom>
    </border>
    <border>
      <left style="thin">
        <color rgb="FF808080"/>
      </left>
      <right style="thin">
        <color theme="3" tint="-0.24993999302387238"/>
      </right>
      <top style="thin">
        <color rgb="FF808080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rgb="FF808080"/>
      </top>
      <bottom style="thin">
        <color theme="3" tint="-0.24993999302387238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theme="3" tint="-0.24993999302387238"/>
      </right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71" fontId="52" fillId="0" borderId="9" applyNumberFormat="0" applyAlignment="0" applyProtection="0"/>
    <xf numFmtId="171" fontId="53" fillId="0" borderId="10" applyNumberFormat="0" applyProtection="0">
      <alignment horizontal="right" vertical="center"/>
    </xf>
    <xf numFmtId="171" fontId="54" fillId="0" borderId="11" applyNumberFormat="0" applyProtection="0">
      <alignment horizontal="right" vertical="center"/>
    </xf>
    <xf numFmtId="0" fontId="54" fillId="33" borderId="12" applyNumberFormat="0" applyAlignment="0" applyProtection="0"/>
    <xf numFmtId="171" fontId="53" fillId="34" borderId="12" applyNumberFormat="0" applyAlignment="0" applyProtection="0"/>
    <xf numFmtId="0" fontId="54" fillId="33" borderId="11" applyNumberFormat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" fontId="6" fillId="0" borderId="0" xfId="0" applyNumberFormat="1" applyFont="1" applyAlignment="1">
      <alignment/>
    </xf>
    <xf numFmtId="4" fontId="7" fillId="0" borderId="0" xfId="50" applyNumberFormat="1" applyFont="1" applyFill="1" applyAlignment="1">
      <alignment/>
    </xf>
    <xf numFmtId="164" fontId="58" fillId="0" borderId="0" xfId="50" applyNumberFormat="1" applyFont="1" applyFill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38" fontId="0" fillId="0" borderId="0" xfId="0" applyNumberFormat="1" applyAlignment="1">
      <alignment/>
    </xf>
    <xf numFmtId="167" fontId="0" fillId="0" borderId="0" xfId="45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8" fontId="0" fillId="0" borderId="0" xfId="0" applyNumberFormat="1" applyAlignment="1">
      <alignment horizontal="center"/>
    </xf>
    <xf numFmtId="167" fontId="0" fillId="0" borderId="0" xfId="45" applyNumberFormat="1" applyFont="1" applyAlignment="1">
      <alignment horizontal="center"/>
    </xf>
    <xf numFmtId="167" fontId="0" fillId="0" borderId="0" xfId="45" applyNumberForma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8" fontId="11" fillId="0" borderId="0" xfId="0" applyNumberFormat="1" applyFont="1" applyAlignment="1">
      <alignment horizontal="center"/>
    </xf>
    <xf numFmtId="167" fontId="11" fillId="0" borderId="0" xfId="45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7" fontId="0" fillId="0" borderId="0" xfId="45" applyNumberFormat="1" applyAlignment="1">
      <alignment/>
    </xf>
    <xf numFmtId="44" fontId="7" fillId="0" borderId="0" xfId="50" applyNumberFormat="1" applyFont="1" applyFill="1" applyAlignment="1">
      <alignment/>
    </xf>
    <xf numFmtId="37" fontId="0" fillId="0" borderId="0" xfId="0" applyNumberFormat="1" applyFont="1" applyAlignment="1">
      <alignment/>
    </xf>
    <xf numFmtId="167" fontId="7" fillId="0" borderId="0" xfId="50" applyNumberFormat="1" applyFont="1" applyFill="1" applyAlignment="1">
      <alignment/>
    </xf>
    <xf numFmtId="167" fontId="58" fillId="0" borderId="0" xfId="50" applyNumberFormat="1" applyFont="1" applyFill="1" applyAlignment="1">
      <alignment/>
    </xf>
    <xf numFmtId="43" fontId="0" fillId="0" borderId="0" xfId="42" applyAlignment="1">
      <alignment/>
    </xf>
    <xf numFmtId="44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7" fontId="0" fillId="0" borderId="0" xfId="42" applyNumberFormat="1" applyAlignment="1">
      <alignment/>
    </xf>
    <xf numFmtId="7" fontId="0" fillId="0" borderId="15" xfId="45" applyNumberFormat="1" applyBorder="1" applyAlignment="1">
      <alignment/>
    </xf>
    <xf numFmtId="44" fontId="7" fillId="0" borderId="15" xfId="50" applyNumberFormat="1" applyFont="1" applyFill="1" applyBorder="1" applyAlignment="1">
      <alignment/>
    </xf>
    <xf numFmtId="44" fontId="0" fillId="0" borderId="15" xfId="45" applyBorder="1" applyAlignment="1">
      <alignment/>
    </xf>
    <xf numFmtId="37" fontId="0" fillId="0" borderId="15" xfId="0" applyNumberFormat="1" applyBorder="1" applyAlignment="1">
      <alignment/>
    </xf>
    <xf numFmtId="168" fontId="0" fillId="0" borderId="0" xfId="42" applyNumberFormat="1" applyFont="1" applyAlignment="1">
      <alignment/>
    </xf>
    <xf numFmtId="0" fontId="0" fillId="0" borderId="0" xfId="0" applyFont="1" applyAlignment="1" quotePrefix="1">
      <alignment/>
    </xf>
    <xf numFmtId="10" fontId="59" fillId="0" borderId="0" xfId="0" applyNumberFormat="1" applyFont="1" applyAlignment="1">
      <alignment/>
    </xf>
    <xf numFmtId="44" fontId="0" fillId="0" borderId="16" xfId="45" applyBorder="1" applyAlignment="1">
      <alignment/>
    </xf>
    <xf numFmtId="3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168" fontId="0" fillId="0" borderId="0" xfId="42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64" applyFon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4" fontId="0" fillId="0" borderId="17" xfId="0" applyNumberFormat="1" applyBorder="1" applyAlignment="1">
      <alignment/>
    </xf>
    <xf numFmtId="170" fontId="0" fillId="0" borderId="0" xfId="42" applyNumberFormat="1" applyFont="1" applyAlignment="1">
      <alignment/>
    </xf>
    <xf numFmtId="0" fontId="12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0" fontId="0" fillId="0" borderId="0" xfId="42" applyNumberFormat="1" applyAlignment="1">
      <alignment/>
    </xf>
    <xf numFmtId="172" fontId="52" fillId="0" borderId="0" xfId="65" applyNumberFormat="1" applyBorder="1" applyAlignment="1">
      <alignment/>
    </xf>
    <xf numFmtId="7" fontId="7" fillId="0" borderId="15" xfId="5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9" fillId="0" borderId="0" xfId="0" applyFont="1" applyAlignment="1">
      <alignment/>
    </xf>
    <xf numFmtId="17" fontId="3" fillId="0" borderId="18" xfId="0" applyNumberFormat="1" applyFont="1" applyBorder="1" applyAlignment="1">
      <alignment horizontal="center"/>
    </xf>
    <xf numFmtId="44" fontId="3" fillId="0" borderId="19" xfId="0" applyNumberFormat="1" applyFont="1" applyBorder="1" applyAlignment="1">
      <alignment horizontal="center"/>
    </xf>
    <xf numFmtId="44" fontId="3" fillId="0" borderId="19" xfId="0" applyNumberFormat="1" applyFont="1" applyBorder="1" applyAlignment="1">
      <alignment horizontal="center" wrapText="1"/>
    </xf>
    <xf numFmtId="173" fontId="3" fillId="0" borderId="20" xfId="0" applyNumberFormat="1" applyFont="1" applyBorder="1" applyAlignment="1">
      <alignment horizontal="center"/>
    </xf>
    <xf numFmtId="44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44" fontId="3" fillId="0" borderId="2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60" applyFont="1" applyAlignment="1">
      <alignment horizontal="center" wrapText="1"/>
      <protection/>
    </xf>
    <xf numFmtId="44" fontId="3" fillId="0" borderId="0" xfId="48" applyFont="1" applyAlignment="1">
      <alignment horizontal="center" wrapText="1"/>
    </xf>
    <xf numFmtId="165" fontId="3" fillId="0" borderId="25" xfId="0" applyNumberFormat="1" applyFont="1" applyBorder="1" applyAlignment="1">
      <alignment/>
    </xf>
    <xf numFmtId="44" fontId="3" fillId="0" borderId="26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44" fontId="3" fillId="0" borderId="2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44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7" fontId="3" fillId="0" borderId="28" xfId="0" applyNumberFormat="1" applyFon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4" fontId="0" fillId="0" borderId="29" xfId="0" applyNumberFormat="1" applyFont="1" applyBorder="1" applyAlignment="1">
      <alignment/>
    </xf>
    <xf numFmtId="37" fontId="0" fillId="0" borderId="29" xfId="0" applyNumberFormat="1" applyFont="1" applyBorder="1" applyAlignment="1">
      <alignment/>
    </xf>
    <xf numFmtId="37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44" fontId="0" fillId="0" borderId="31" xfId="0" applyNumberFormat="1" applyFont="1" applyBorder="1" applyAlignment="1">
      <alignment/>
    </xf>
    <xf numFmtId="44" fontId="0" fillId="0" borderId="32" xfId="0" applyNumberFormat="1" applyFont="1" applyBorder="1" applyAlignment="1">
      <alignment/>
    </xf>
    <xf numFmtId="44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44" fontId="0" fillId="0" borderId="34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44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4" fontId="0" fillId="0" borderId="37" xfId="0" applyNumberFormat="1" applyFont="1" applyBorder="1" applyAlignment="1">
      <alignment/>
    </xf>
    <xf numFmtId="44" fontId="0" fillId="0" borderId="36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44" fontId="0" fillId="0" borderId="36" xfId="47" applyFont="1" applyBorder="1" applyAlignment="1">
      <alignment/>
    </xf>
    <xf numFmtId="165" fontId="0" fillId="0" borderId="38" xfId="0" applyNumberFormat="1" applyFont="1" applyBorder="1" applyAlignment="1">
      <alignment/>
    </xf>
    <xf numFmtId="44" fontId="0" fillId="0" borderId="36" xfId="0" applyNumberFormat="1" applyBorder="1" applyAlignment="1">
      <alignment/>
    </xf>
    <xf numFmtId="165" fontId="0" fillId="0" borderId="39" xfId="0" applyNumberFormat="1" applyFont="1" applyBorder="1" applyAlignment="1">
      <alignment/>
    </xf>
    <xf numFmtId="44" fontId="0" fillId="0" borderId="40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37" fontId="0" fillId="0" borderId="41" xfId="0" applyNumberFormat="1" applyFont="1" applyBorder="1" applyAlignment="1">
      <alignment/>
    </xf>
    <xf numFmtId="44" fontId="0" fillId="0" borderId="4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44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44" fontId="0" fillId="0" borderId="43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44" fontId="3" fillId="0" borderId="34" xfId="0" applyNumberFormat="1" applyFont="1" applyBorder="1" applyAlignment="1">
      <alignment/>
    </xf>
    <xf numFmtId="37" fontId="3" fillId="0" borderId="34" xfId="0" applyNumberFormat="1" applyFont="1" applyBorder="1" applyAlignment="1">
      <alignment/>
    </xf>
    <xf numFmtId="37" fontId="3" fillId="0" borderId="36" xfId="0" applyNumberFormat="1" applyFont="1" applyBorder="1" applyAlignment="1">
      <alignment/>
    </xf>
    <xf numFmtId="44" fontId="3" fillId="0" borderId="3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44" fontId="3" fillId="0" borderId="36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44" fontId="3" fillId="0" borderId="44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7" fillId="0" borderId="0" xfId="58">
      <alignment/>
      <protection/>
    </xf>
    <xf numFmtId="0" fontId="54" fillId="33" borderId="12" xfId="68" applyAlignment="1" quotePrefix="1">
      <alignment/>
    </xf>
    <xf numFmtId="0" fontId="53" fillId="34" borderId="12" xfId="69" applyNumberFormat="1" applyAlignment="1" quotePrefix="1">
      <alignment/>
    </xf>
    <xf numFmtId="0" fontId="53" fillId="34" borderId="12" xfId="69" applyNumberFormat="1" applyAlignment="1">
      <alignment/>
    </xf>
    <xf numFmtId="0" fontId="54" fillId="33" borderId="45" xfId="70" applyBorder="1" applyAlignment="1" quotePrefix="1">
      <alignment/>
    </xf>
    <xf numFmtId="0" fontId="54" fillId="33" borderId="46" xfId="70" applyBorder="1" applyAlignment="1">
      <alignment/>
    </xf>
    <xf numFmtId="0" fontId="54" fillId="33" borderId="11" xfId="70" applyAlignment="1" quotePrefix="1">
      <alignment/>
    </xf>
    <xf numFmtId="0" fontId="54" fillId="33" borderId="47" xfId="70" applyBorder="1" applyAlignment="1" quotePrefix="1">
      <alignment/>
    </xf>
    <xf numFmtId="0" fontId="37" fillId="0" borderId="0" xfId="61" applyAlignment="1">
      <alignment horizontal="center"/>
      <protection/>
    </xf>
    <xf numFmtId="0" fontId="53" fillId="34" borderId="12" xfId="69" applyNumberFormat="1" applyAlignment="1" quotePrefix="1">
      <alignment horizontal="right"/>
    </xf>
    <xf numFmtId="0" fontId="54" fillId="33" borderId="48" xfId="70" applyBorder="1" applyAlignment="1" quotePrefix="1">
      <alignment horizontal="right"/>
    </xf>
    <xf numFmtId="0" fontId="54" fillId="33" borderId="49" xfId="70" applyBorder="1" applyAlignment="1" quotePrefix="1">
      <alignment horizontal="right"/>
    </xf>
    <xf numFmtId="43" fontId="37" fillId="0" borderId="0" xfId="44" applyAlignment="1">
      <alignment/>
    </xf>
    <xf numFmtId="170" fontId="37" fillId="0" borderId="0" xfId="42" applyNumberFormat="1" applyFont="1" applyAlignment="1">
      <alignment/>
    </xf>
    <xf numFmtId="43" fontId="37" fillId="0" borderId="0" xfId="42" applyFont="1" applyAlignment="1">
      <alignment/>
    </xf>
    <xf numFmtId="174" fontId="37" fillId="0" borderId="0" xfId="42" applyNumberFormat="1" applyFont="1" applyAlignment="1">
      <alignment/>
    </xf>
    <xf numFmtId="17" fontId="53" fillId="34" borderId="12" xfId="69" applyNumberFormat="1" applyAlignment="1" quotePrefix="1">
      <alignment/>
    </xf>
    <xf numFmtId="175" fontId="53" fillId="0" borderId="10" xfId="66" applyNumberFormat="1">
      <alignment horizontal="right" vertical="center"/>
    </xf>
    <xf numFmtId="172" fontId="53" fillId="0" borderId="10" xfId="66" applyNumberFormat="1">
      <alignment horizontal="right" vertical="center"/>
    </xf>
    <xf numFmtId="175" fontId="54" fillId="0" borderId="11" xfId="67" applyNumberFormat="1">
      <alignment horizontal="right" vertical="center"/>
    </xf>
    <xf numFmtId="172" fontId="54" fillId="0" borderId="47" xfId="67" applyNumberFormat="1" applyBorder="1">
      <alignment horizontal="right" vertical="center"/>
    </xf>
    <xf numFmtId="170" fontId="37" fillId="0" borderId="0" xfId="44" applyNumberFormat="1" applyAlignment="1">
      <alignment/>
    </xf>
    <xf numFmtId="0" fontId="54" fillId="33" borderId="50" xfId="70" applyBorder="1" applyAlignment="1" quotePrefix="1">
      <alignment/>
    </xf>
    <xf numFmtId="175" fontId="54" fillId="0" borderId="48" xfId="67" applyNumberFormat="1" applyBorder="1">
      <alignment horizontal="right" vertical="center"/>
    </xf>
    <xf numFmtId="172" fontId="54" fillId="0" borderId="48" xfId="67" applyNumberFormat="1" applyBorder="1">
      <alignment horizontal="right" vertical="center"/>
    </xf>
    <xf numFmtId="172" fontId="54" fillId="0" borderId="49" xfId="67" applyNumberFormat="1" applyBorder="1">
      <alignment horizontal="right" vertical="center"/>
    </xf>
    <xf numFmtId="0" fontId="50" fillId="0" borderId="0" xfId="59">
      <alignment/>
      <protection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1" fillId="0" borderId="34" xfId="0" applyFont="1" applyBorder="1" applyAlignment="1">
      <alignment/>
    </xf>
    <xf numFmtId="44" fontId="0" fillId="0" borderId="34" xfId="0" applyNumberFormat="1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34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7" fontId="0" fillId="0" borderId="34" xfId="0" applyNumberFormat="1" applyBorder="1" applyAlignment="1">
      <alignment/>
    </xf>
    <xf numFmtId="3" fontId="0" fillId="0" borderId="40" xfId="0" applyNumberFormat="1" applyBorder="1" applyAlignment="1">
      <alignment/>
    </xf>
    <xf numFmtId="8" fontId="0" fillId="0" borderId="34" xfId="0" applyNumberFormat="1" applyBorder="1" applyAlignment="1">
      <alignment/>
    </xf>
    <xf numFmtId="0" fontId="60" fillId="0" borderId="54" xfId="0" applyFont="1" applyBorder="1" applyAlignment="1">
      <alignment horizontal="right"/>
    </xf>
    <xf numFmtId="177" fontId="60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10" fontId="0" fillId="0" borderId="34" xfId="0" applyNumberFormat="1" applyBorder="1" applyAlignment="1">
      <alignment/>
    </xf>
    <xf numFmtId="9" fontId="0" fillId="0" borderId="34" xfId="0" applyNumberFormat="1" applyBorder="1" applyAlignment="1">
      <alignment/>
    </xf>
    <xf numFmtId="0" fontId="62" fillId="0" borderId="55" xfId="0" applyFont="1" applyBorder="1" applyAlignment="1">
      <alignment horizontal="right"/>
    </xf>
    <xf numFmtId="44" fontId="62" fillId="0" borderId="55" xfId="0" applyNumberFormat="1" applyFont="1" applyBorder="1" applyAlignment="1">
      <alignment/>
    </xf>
    <xf numFmtId="0" fontId="62" fillId="0" borderId="51" xfId="0" applyFont="1" applyBorder="1" applyAlignment="1">
      <alignment/>
    </xf>
    <xf numFmtId="44" fontId="62" fillId="0" borderId="51" xfId="0" applyNumberFormat="1" applyFont="1" applyBorder="1" applyAlignment="1">
      <alignment/>
    </xf>
    <xf numFmtId="0" fontId="62" fillId="0" borderId="56" xfId="0" applyFont="1" applyBorder="1" applyAlignment="1">
      <alignment horizontal="right"/>
    </xf>
    <xf numFmtId="44" fontId="62" fillId="0" borderId="57" xfId="0" applyNumberFormat="1" applyFont="1" applyBorder="1" applyAlignment="1">
      <alignment/>
    </xf>
    <xf numFmtId="0" fontId="63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4" fontId="10" fillId="0" borderId="61" xfId="0" applyNumberFormat="1" applyFont="1" applyBorder="1" applyAlignment="1">
      <alignment horizontal="center"/>
    </xf>
    <xf numFmtId="44" fontId="10" fillId="0" borderId="59" xfId="0" applyNumberFormat="1" applyFont="1" applyBorder="1" applyAlignment="1">
      <alignment horizontal="center"/>
    </xf>
    <xf numFmtId="44" fontId="10" fillId="0" borderId="60" xfId="0" applyNumberFormat="1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37" fillId="0" borderId="0" xfId="61" applyAlignment="1">
      <alignment horizontal="center"/>
      <protection/>
    </xf>
    <xf numFmtId="0" fontId="37" fillId="0" borderId="63" xfId="61" applyBorder="1" applyAlignment="1">
      <alignment horizontal="center"/>
      <protection/>
    </xf>
    <xf numFmtId="0" fontId="63" fillId="0" borderId="0" xfId="0" applyFont="1" applyAlignment="1">
      <alignment horizontal="left"/>
    </xf>
    <xf numFmtId="0" fontId="60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urrency" xfId="45"/>
    <cellStyle name="Currency [0]" xfId="46"/>
    <cellStyle name="Currency 5 3" xfId="47"/>
    <cellStyle name="Currency 7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4" xfId="59"/>
    <cellStyle name="Normal 4 2" xfId="60"/>
    <cellStyle name="Normal 6 2 3" xfId="61"/>
    <cellStyle name="Note" xfId="62"/>
    <cellStyle name="Output" xfId="63"/>
    <cellStyle name="Percent" xfId="64"/>
    <cellStyle name="SAPDataCell" xfId="65"/>
    <cellStyle name="SAPDataCell_DSMRC Recoveries &amp; Sales" xfId="66"/>
    <cellStyle name="SAPDataTotalCell_DSMRC Recoveries &amp; Sales" xfId="67"/>
    <cellStyle name="SAPDimensionCell_DSMRC Recoveries &amp; Sales" xfId="68"/>
    <cellStyle name="SAPMemberCell_DSMRC Recoveries &amp; Sales" xfId="69"/>
    <cellStyle name="SAPMemberTotalCell_DSMRC Recoveries &amp; Sales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ate%20Administration\5-Jurisdictional%20Files\Kentucky\DSM\2019\2019%20DSM%20Balancing%20Adjustment%20With%20Inter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SA"/>
      <sheetName val="2019"/>
      <sheetName val="DSMRC Costs"/>
      <sheetName val="DSMRC Recoveries &amp; Sales"/>
      <sheetName val="DIA + DLSA Revenue"/>
      <sheetName val="Interest Rates"/>
      <sheetName val="Pri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110" zoomScaleSheetLayoutView="110" zoomScalePageLayoutView="0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16.28125" style="0" customWidth="1"/>
    <col min="3" max="5" width="16.421875" style="0" customWidth="1"/>
    <col min="7" max="7" width="2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2" t="s">
        <v>4</v>
      </c>
    </row>
    <row r="6" ht="6" customHeight="1"/>
    <row r="7" ht="12.75">
      <c r="A7" s="3" t="s">
        <v>5</v>
      </c>
    </row>
    <row r="8" ht="12.75">
      <c r="A8" s="4" t="s">
        <v>6</v>
      </c>
    </row>
    <row r="9" ht="12.75">
      <c r="A9" s="4" t="s">
        <v>7</v>
      </c>
    </row>
    <row r="10" ht="12.75">
      <c r="A10" s="4" t="s">
        <v>8</v>
      </c>
    </row>
    <row r="11" ht="12.75">
      <c r="A11" s="4" t="s">
        <v>9</v>
      </c>
    </row>
    <row r="12" ht="12.75">
      <c r="A12" s="4" t="s">
        <v>10</v>
      </c>
    </row>
    <row r="13" ht="12.75">
      <c r="A13" s="4" t="s">
        <v>11</v>
      </c>
    </row>
    <row r="14" ht="12.75">
      <c r="A14" s="4" t="s">
        <v>12</v>
      </c>
    </row>
    <row r="15" ht="7.5" customHeight="1"/>
    <row r="16" ht="12.75">
      <c r="A16" s="1" t="s">
        <v>13</v>
      </c>
    </row>
    <row r="17" spans="1:5" ht="25.5">
      <c r="A17" s="5" t="s">
        <v>14</v>
      </c>
      <c r="B17" s="5" t="s">
        <v>15</v>
      </c>
      <c r="C17" s="5" t="s">
        <v>16</v>
      </c>
      <c r="D17" s="5" t="s">
        <v>17</v>
      </c>
      <c r="E17" s="5" t="s">
        <v>18</v>
      </c>
    </row>
    <row r="18" spans="2:5" ht="12.75">
      <c r="B18" s="6" t="s">
        <v>19</v>
      </c>
      <c r="C18" s="6" t="s">
        <v>20</v>
      </c>
      <c r="D18" s="6" t="s">
        <v>21</v>
      </c>
      <c r="E18" s="6" t="s">
        <v>22</v>
      </c>
    </row>
    <row r="19" spans="1:8" ht="15">
      <c r="A19" s="6">
        <v>1</v>
      </c>
      <c r="B19" s="7">
        <v>43344</v>
      </c>
      <c r="C19" s="8">
        <f>'DSMRC Costs'!V13</f>
        <v>758.6999999999999</v>
      </c>
      <c r="D19" s="9">
        <v>0.1725</v>
      </c>
      <c r="E19" s="10">
        <f aca="true" t="shared" si="0" ref="E19:E30">ROUND(C19*D19,2)</f>
        <v>130.88</v>
      </c>
      <c r="H19" s="11"/>
    </row>
    <row r="20" spans="1:8" ht="15">
      <c r="A20" s="6">
        <v>2</v>
      </c>
      <c r="B20" s="12">
        <f>EDATE(B19,1)</f>
        <v>43374</v>
      </c>
      <c r="C20" s="8">
        <f>'DSMRC Costs'!V14</f>
        <v>1011.5999999999999</v>
      </c>
      <c r="D20" s="9">
        <v>0.1725</v>
      </c>
      <c r="E20" s="10">
        <f t="shared" si="0"/>
        <v>174.5</v>
      </c>
      <c r="H20" s="11"/>
    </row>
    <row r="21" spans="1:8" ht="15">
      <c r="A21" s="6">
        <v>3</v>
      </c>
      <c r="B21" s="12">
        <f aca="true" t="shared" si="1" ref="B21:B30">EDATE(B20,1)</f>
        <v>43405</v>
      </c>
      <c r="C21" s="8">
        <f>'DSMRC Costs'!V15</f>
        <v>505.79999999999995</v>
      </c>
      <c r="D21" s="9">
        <v>0.1725</v>
      </c>
      <c r="E21" s="10">
        <f t="shared" si="0"/>
        <v>87.25</v>
      </c>
      <c r="H21" s="11"/>
    </row>
    <row r="22" spans="1:8" ht="15">
      <c r="A22" s="6">
        <v>4</v>
      </c>
      <c r="B22" s="12">
        <f t="shared" si="1"/>
        <v>43435</v>
      </c>
      <c r="C22" s="8">
        <f>'DSMRC Costs'!V16</f>
        <v>1011.5999999999999</v>
      </c>
      <c r="D22" s="9">
        <v>0.1725</v>
      </c>
      <c r="E22" s="10">
        <f t="shared" si="0"/>
        <v>174.5</v>
      </c>
      <c r="H22" s="11"/>
    </row>
    <row r="23" spans="1:8" ht="15">
      <c r="A23" s="6">
        <v>5</v>
      </c>
      <c r="B23" s="12">
        <f t="shared" si="1"/>
        <v>43466</v>
      </c>
      <c r="C23" s="8">
        <f>'DSMRC Costs'!V19</f>
        <v>1517.3999999999999</v>
      </c>
      <c r="D23" s="9">
        <v>0.1725</v>
      </c>
      <c r="E23" s="10">
        <f t="shared" si="0"/>
        <v>261.75</v>
      </c>
      <c r="H23" s="11"/>
    </row>
    <row r="24" spans="1:8" ht="15">
      <c r="A24" s="6">
        <v>6</v>
      </c>
      <c r="B24" s="12">
        <f t="shared" si="1"/>
        <v>43497</v>
      </c>
      <c r="C24" s="8">
        <f>'DSMRC Costs'!V20</f>
        <v>1264.5</v>
      </c>
      <c r="D24" s="9">
        <v>0.1725</v>
      </c>
      <c r="E24" s="10">
        <f t="shared" si="0"/>
        <v>218.13</v>
      </c>
      <c r="H24" s="11"/>
    </row>
    <row r="25" spans="1:8" ht="15">
      <c r="A25" s="6">
        <v>7</v>
      </c>
      <c r="B25" s="12">
        <f t="shared" si="1"/>
        <v>43525</v>
      </c>
      <c r="C25" s="8">
        <f>'DSMRC Costs'!V21</f>
        <v>758.6999999999999</v>
      </c>
      <c r="D25" s="9">
        <v>0.1725</v>
      </c>
      <c r="E25" s="10">
        <f t="shared" si="0"/>
        <v>130.88</v>
      </c>
      <c r="H25" s="11"/>
    </row>
    <row r="26" spans="1:8" ht="15">
      <c r="A26" s="6">
        <v>8</v>
      </c>
      <c r="B26" s="12">
        <f t="shared" si="1"/>
        <v>43556</v>
      </c>
      <c r="C26" s="8">
        <f>'DSMRC Costs'!V22</f>
        <v>1011.5999999999999</v>
      </c>
      <c r="D26" s="9">
        <v>0.1725</v>
      </c>
      <c r="E26" s="10">
        <f t="shared" si="0"/>
        <v>174.5</v>
      </c>
      <c r="H26" s="11"/>
    </row>
    <row r="27" spans="1:8" ht="15">
      <c r="A27" s="6">
        <v>9</v>
      </c>
      <c r="B27" s="12">
        <f t="shared" si="1"/>
        <v>43586</v>
      </c>
      <c r="C27" s="8">
        <f>'DSMRC Costs'!V23</f>
        <v>1264.5</v>
      </c>
      <c r="D27" s="9">
        <v>0.13855</v>
      </c>
      <c r="E27" s="10">
        <f t="shared" si="0"/>
        <v>175.2</v>
      </c>
      <c r="H27" s="11"/>
    </row>
    <row r="28" spans="1:8" ht="15">
      <c r="A28" s="6">
        <v>10</v>
      </c>
      <c r="B28" s="12">
        <f t="shared" si="1"/>
        <v>43617</v>
      </c>
      <c r="C28" s="8">
        <f>'DSMRC Costs'!V24</f>
        <v>758.6999999999999</v>
      </c>
      <c r="D28" s="9">
        <v>0.13855</v>
      </c>
      <c r="E28" s="10">
        <f t="shared" si="0"/>
        <v>105.12</v>
      </c>
      <c r="H28" s="11"/>
    </row>
    <row r="29" spans="1:8" ht="15">
      <c r="A29" s="6">
        <v>11</v>
      </c>
      <c r="B29" s="12">
        <f t="shared" si="1"/>
        <v>43647</v>
      </c>
      <c r="C29" s="8">
        <f>'DSMRC Costs'!V25</f>
        <v>505.79999999999995</v>
      </c>
      <c r="D29" s="9">
        <v>0.13855</v>
      </c>
      <c r="E29" s="10">
        <f t="shared" si="0"/>
        <v>70.08</v>
      </c>
      <c r="H29" s="11"/>
    </row>
    <row r="30" spans="1:8" ht="15">
      <c r="A30" s="6">
        <v>12</v>
      </c>
      <c r="B30" s="12">
        <f t="shared" si="1"/>
        <v>43678</v>
      </c>
      <c r="C30" s="8">
        <f>'DSMRC Costs'!V26</f>
        <v>1517.3999999999999</v>
      </c>
      <c r="D30" s="9">
        <v>0.13855</v>
      </c>
      <c r="E30" s="10">
        <f t="shared" si="0"/>
        <v>210.24</v>
      </c>
      <c r="H30" s="11"/>
    </row>
    <row r="31" spans="1:8" ht="12.75">
      <c r="A31" s="6">
        <v>13</v>
      </c>
      <c r="B31" s="13" t="s">
        <v>23</v>
      </c>
      <c r="E31" s="14">
        <f>SUM(E19:E30)</f>
        <v>1913.03</v>
      </c>
      <c r="H31" s="11"/>
    </row>
    <row r="32" ht="12.75">
      <c r="A32" s="6"/>
    </row>
    <row r="33" spans="1:5" ht="12.75">
      <c r="A33" s="6">
        <v>14</v>
      </c>
      <c r="B33" t="s">
        <v>24</v>
      </c>
      <c r="E33" s="11">
        <f>'2019'!G25</f>
        <v>10026837.200000003</v>
      </c>
    </row>
    <row r="34" ht="12.75">
      <c r="A34" s="6"/>
    </row>
    <row r="35" spans="1:5" ht="12.75">
      <c r="A35" s="6">
        <v>15</v>
      </c>
      <c r="B35" t="s">
        <v>25</v>
      </c>
      <c r="E35" s="15">
        <f>ROUND(E31/E33,4)</f>
        <v>0.0002</v>
      </c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spans="1:5" ht="25.5">
      <c r="A40" s="1" t="s">
        <v>26</v>
      </c>
      <c r="B40" s="5" t="s">
        <v>15</v>
      </c>
      <c r="C40" s="5" t="s">
        <v>16</v>
      </c>
      <c r="D40" s="5" t="s">
        <v>17</v>
      </c>
      <c r="E40" s="5" t="s">
        <v>18</v>
      </c>
    </row>
    <row r="41" spans="1:5" ht="12.75">
      <c r="A41" s="5" t="s">
        <v>14</v>
      </c>
      <c r="B41" s="6" t="s">
        <v>19</v>
      </c>
      <c r="C41" s="6" t="s">
        <v>20</v>
      </c>
      <c r="D41" s="6" t="s">
        <v>21</v>
      </c>
      <c r="E41" s="6" t="s">
        <v>22</v>
      </c>
    </row>
    <row r="42" spans="1:5" ht="15">
      <c r="A42" s="6">
        <v>1</v>
      </c>
      <c r="B42" s="12">
        <f>+B19</f>
        <v>43344</v>
      </c>
      <c r="C42" s="8">
        <f>'DSMRC Costs'!W13</f>
        <v>0</v>
      </c>
      <c r="D42" s="9">
        <v>0.1725</v>
      </c>
      <c r="E42" s="10">
        <f aca="true" t="shared" si="2" ref="E42:E53">ROUND(C42*D42,2)</f>
        <v>0</v>
      </c>
    </row>
    <row r="43" spans="1:5" ht="15">
      <c r="A43" s="6">
        <v>2</v>
      </c>
      <c r="B43" s="12">
        <f aca="true" t="shared" si="3" ref="B43:B53">B20</f>
        <v>43374</v>
      </c>
      <c r="C43" s="8">
        <f>'DSMRC Costs'!W14</f>
        <v>0</v>
      </c>
      <c r="D43" s="9">
        <v>0.1725</v>
      </c>
      <c r="E43" s="10">
        <f t="shared" si="2"/>
        <v>0</v>
      </c>
    </row>
    <row r="44" spans="1:5" ht="15">
      <c r="A44" s="6">
        <v>3</v>
      </c>
      <c r="B44" s="12">
        <f t="shared" si="3"/>
        <v>43405</v>
      </c>
      <c r="C44" s="8">
        <f>'DSMRC Costs'!W15</f>
        <v>0</v>
      </c>
      <c r="D44" s="9">
        <v>0.1725</v>
      </c>
      <c r="E44" s="10">
        <f t="shared" si="2"/>
        <v>0</v>
      </c>
    </row>
    <row r="45" spans="1:5" ht="15">
      <c r="A45" s="6">
        <v>4</v>
      </c>
      <c r="B45" s="12">
        <f t="shared" si="3"/>
        <v>43435</v>
      </c>
      <c r="C45" s="8">
        <f>'DSMRC Costs'!W16</f>
        <v>0</v>
      </c>
      <c r="D45" s="9">
        <v>0.1725</v>
      </c>
      <c r="E45" s="10">
        <f t="shared" si="2"/>
        <v>0</v>
      </c>
    </row>
    <row r="46" spans="1:5" ht="15">
      <c r="A46" s="6">
        <v>5</v>
      </c>
      <c r="B46" s="12">
        <f t="shared" si="3"/>
        <v>43466</v>
      </c>
      <c r="C46" s="8">
        <f>'DSMRC Costs'!W19</f>
        <v>0</v>
      </c>
      <c r="D46" s="9">
        <v>0.1725</v>
      </c>
      <c r="E46" s="10">
        <f t="shared" si="2"/>
        <v>0</v>
      </c>
    </row>
    <row r="47" spans="1:5" ht="15">
      <c r="A47" s="6">
        <v>6</v>
      </c>
      <c r="B47" s="12">
        <f t="shared" si="3"/>
        <v>43497</v>
      </c>
      <c r="C47" s="8">
        <f>'DSMRC Costs'!W20</f>
        <v>0</v>
      </c>
      <c r="D47" s="9">
        <v>0.1725</v>
      </c>
      <c r="E47" s="10">
        <f t="shared" si="2"/>
        <v>0</v>
      </c>
    </row>
    <row r="48" spans="1:5" ht="15">
      <c r="A48" s="6">
        <v>7</v>
      </c>
      <c r="B48" s="12">
        <f t="shared" si="3"/>
        <v>43525</v>
      </c>
      <c r="C48" s="8">
        <f>'DSMRC Costs'!W21</f>
        <v>0</v>
      </c>
      <c r="D48" s="9">
        <v>0.1725</v>
      </c>
      <c r="E48" s="10">
        <f t="shared" si="2"/>
        <v>0</v>
      </c>
    </row>
    <row r="49" spans="1:5" ht="15">
      <c r="A49" s="6">
        <v>8</v>
      </c>
      <c r="B49" s="12">
        <f t="shared" si="3"/>
        <v>43556</v>
      </c>
      <c r="C49" s="8">
        <f>'DSMRC Costs'!W22</f>
        <v>0</v>
      </c>
      <c r="D49" s="9">
        <v>0.1725</v>
      </c>
      <c r="E49" s="10">
        <f t="shared" si="2"/>
        <v>0</v>
      </c>
    </row>
    <row r="50" spans="1:5" ht="15">
      <c r="A50" s="6">
        <v>9</v>
      </c>
      <c r="B50" s="12">
        <f t="shared" si="3"/>
        <v>43586</v>
      </c>
      <c r="C50" s="8">
        <f>'DSMRC Costs'!W23</f>
        <v>0</v>
      </c>
      <c r="D50" s="9">
        <v>0.13855</v>
      </c>
      <c r="E50" s="10">
        <f t="shared" si="2"/>
        <v>0</v>
      </c>
    </row>
    <row r="51" spans="1:5" ht="15">
      <c r="A51" s="6">
        <v>10</v>
      </c>
      <c r="B51" s="12">
        <f t="shared" si="3"/>
        <v>43617</v>
      </c>
      <c r="C51" s="8">
        <f>'DSMRC Costs'!W24</f>
        <v>0</v>
      </c>
      <c r="D51" s="9">
        <v>0.13855</v>
      </c>
      <c r="E51" s="10">
        <f t="shared" si="2"/>
        <v>0</v>
      </c>
    </row>
    <row r="52" spans="1:5" ht="15">
      <c r="A52" s="6">
        <v>11</v>
      </c>
      <c r="B52" s="12">
        <f t="shared" si="3"/>
        <v>43647</v>
      </c>
      <c r="C52" s="8">
        <f>'DSMRC Costs'!W25</f>
        <v>0</v>
      </c>
      <c r="D52" s="9">
        <v>0.13855</v>
      </c>
      <c r="E52" s="10">
        <f t="shared" si="2"/>
        <v>0</v>
      </c>
    </row>
    <row r="53" spans="1:5" ht="15">
      <c r="A53" s="6">
        <v>12</v>
      </c>
      <c r="B53" s="12">
        <f t="shared" si="3"/>
        <v>43678</v>
      </c>
      <c r="C53" s="8">
        <f>'DSMRC Costs'!W26</f>
        <v>0</v>
      </c>
      <c r="D53" s="9">
        <v>0.13855</v>
      </c>
      <c r="E53" s="10">
        <f t="shared" si="2"/>
        <v>0</v>
      </c>
    </row>
    <row r="54" spans="1:5" ht="12.75">
      <c r="A54" s="6">
        <v>13</v>
      </c>
      <c r="B54" s="13" t="s">
        <v>23</v>
      </c>
      <c r="E54" s="14">
        <f>SUM(E42:E53)</f>
        <v>0</v>
      </c>
    </row>
    <row r="55" ht="12.75">
      <c r="A55" s="6"/>
    </row>
    <row r="56" spans="1:5" ht="12.75">
      <c r="A56" s="6">
        <v>14</v>
      </c>
      <c r="B56" t="s">
        <v>27</v>
      </c>
      <c r="E56" s="11">
        <f>'2019'!G62</f>
        <v>4345605.100000001</v>
      </c>
    </row>
    <row r="57" ht="12.75">
      <c r="A57" s="6"/>
    </row>
    <row r="58" spans="1:5" ht="12.75">
      <c r="A58" s="6">
        <v>15</v>
      </c>
      <c r="B58" t="s">
        <v>25</v>
      </c>
      <c r="E58" s="15">
        <f>ROUND(E54/E56,4)</f>
        <v>0</v>
      </c>
    </row>
    <row r="59" ht="12.75">
      <c r="A59" s="6"/>
    </row>
    <row r="60" ht="12.75">
      <c r="A60" s="6"/>
    </row>
  </sheetData>
  <sheetProtection/>
  <printOptions/>
  <pageMargins left="0.5" right="0.5" top="0.5" bottom="0.5" header="0.3" footer="0.3"/>
  <pageSetup horizontalDpi="600" verticalDpi="600" orientation="portrait" scale="96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view="pageBreakPreview" zoomScaleSheetLayoutView="100" zoomScalePageLayoutView="70" workbookViewId="0" topLeftCell="A4">
      <selection activeCell="H21" sqref="H21"/>
    </sheetView>
  </sheetViews>
  <sheetFormatPr defaultColWidth="9.140625" defaultRowHeight="12.75"/>
  <cols>
    <col min="1" max="1" width="33.00390625" style="0" customWidth="1"/>
    <col min="2" max="2" width="7.421875" style="0" bestFit="1" customWidth="1"/>
    <col min="3" max="3" width="15.00390625" style="0" bestFit="1" customWidth="1"/>
    <col min="4" max="6" width="13.28125" style="0" bestFit="1" customWidth="1"/>
    <col min="7" max="7" width="11.8515625" style="0" bestFit="1" customWidth="1"/>
    <col min="8" max="9" width="10.140625" style="17" bestFit="1" customWidth="1"/>
    <col min="10" max="10" width="11.28125" style="17" bestFit="1" customWidth="1"/>
    <col min="12" max="12" width="12.28125" style="0" customWidth="1"/>
    <col min="13" max="13" width="11.7109375" style="0" bestFit="1" customWidth="1"/>
    <col min="14" max="14" width="5.7109375" style="0" customWidth="1"/>
    <col min="15" max="16" width="12.28125" style="0" bestFit="1" customWidth="1"/>
  </cols>
  <sheetData>
    <row r="1" spans="1:7" ht="15">
      <c r="A1" s="181" t="s">
        <v>28</v>
      </c>
      <c r="B1" s="181"/>
      <c r="C1" s="181"/>
      <c r="D1" s="181"/>
      <c r="E1" s="181"/>
      <c r="F1" s="181"/>
      <c r="G1" s="16"/>
    </row>
    <row r="2" spans="1:7" ht="15">
      <c r="A2" s="18" t="s">
        <v>1</v>
      </c>
      <c r="B2" s="18"/>
      <c r="C2" s="18"/>
      <c r="D2" s="18"/>
      <c r="E2" s="18"/>
      <c r="F2" s="18"/>
      <c r="G2" s="16"/>
    </row>
    <row r="3" spans="1:7" ht="15">
      <c r="A3" s="181" t="s">
        <v>29</v>
      </c>
      <c r="B3" s="181"/>
      <c r="C3" s="181"/>
      <c r="D3" s="181"/>
      <c r="E3" s="181"/>
      <c r="F3" s="181"/>
      <c r="G3" s="16"/>
    </row>
    <row r="4" ht="12.75">
      <c r="G4" s="16"/>
    </row>
    <row r="5" spans="1:7" ht="15.75">
      <c r="A5" s="19" t="s">
        <v>30</v>
      </c>
      <c r="G5" s="16"/>
    </row>
    <row r="6" ht="12.75">
      <c r="G6" s="16"/>
    </row>
    <row r="7" spans="1:10" ht="15.75">
      <c r="A7" s="19" t="s">
        <v>31</v>
      </c>
      <c r="C7" s="6" t="s">
        <v>19</v>
      </c>
      <c r="D7" s="6" t="s">
        <v>20</v>
      </c>
      <c r="E7" s="6" t="s">
        <v>21</v>
      </c>
      <c r="F7" s="20" t="s">
        <v>22</v>
      </c>
      <c r="G7" s="6" t="s">
        <v>32</v>
      </c>
      <c r="H7" s="21" t="s">
        <v>33</v>
      </c>
      <c r="I7" s="21" t="s">
        <v>34</v>
      </c>
      <c r="J7" s="22" t="s">
        <v>35</v>
      </c>
    </row>
    <row r="8" spans="6:7" ht="12.75">
      <c r="F8" s="6" t="s">
        <v>36</v>
      </c>
      <c r="G8" s="16"/>
    </row>
    <row r="9" spans="3:10" ht="12.75">
      <c r="C9" s="6" t="s">
        <v>37</v>
      </c>
      <c r="D9" s="6" t="s">
        <v>37</v>
      </c>
      <c r="E9" s="23" t="s">
        <v>38</v>
      </c>
      <c r="F9" s="6" t="s">
        <v>37</v>
      </c>
      <c r="G9" s="20" t="s">
        <v>39</v>
      </c>
      <c r="H9" s="21" t="s">
        <v>40</v>
      </c>
      <c r="I9" s="21" t="s">
        <v>41</v>
      </c>
      <c r="J9" s="21" t="s">
        <v>42</v>
      </c>
    </row>
    <row r="10" spans="3:10" ht="12.75">
      <c r="C10" s="24" t="s">
        <v>43</v>
      </c>
      <c r="D10" s="24" t="s">
        <v>44</v>
      </c>
      <c r="E10" s="24" t="s">
        <v>45</v>
      </c>
      <c r="F10" s="24" t="s">
        <v>46</v>
      </c>
      <c r="G10" s="25" t="s">
        <v>47</v>
      </c>
      <c r="H10" s="26" t="s">
        <v>42</v>
      </c>
      <c r="I10" s="26" t="s">
        <v>42</v>
      </c>
      <c r="J10" s="26" t="s">
        <v>48</v>
      </c>
    </row>
    <row r="11" spans="1:7" ht="12.75">
      <c r="A11" t="s">
        <v>49</v>
      </c>
      <c r="C11" s="24"/>
      <c r="D11" s="24"/>
      <c r="E11" s="24"/>
      <c r="F11" s="27">
        <v>-275537.40560000006</v>
      </c>
      <c r="G11" s="20" t="s">
        <v>50</v>
      </c>
    </row>
    <row r="12" spans="3:7" ht="6" customHeight="1">
      <c r="C12" s="24"/>
      <c r="D12" s="24"/>
      <c r="E12" s="24"/>
      <c r="F12" s="28"/>
      <c r="G12" s="20"/>
    </row>
    <row r="13" spans="2:14" ht="15">
      <c r="B13" s="7">
        <v>43344</v>
      </c>
      <c r="C13" s="29">
        <f>+-1*'DSMRC Recoveries &amp; Sales'!I8</f>
        <v>-2608.76</v>
      </c>
      <c r="D13" s="30">
        <f>'DSMRC Costs'!Y13</f>
        <v>8558.38</v>
      </c>
      <c r="E13" s="29">
        <f>E$25*(G13/G$25)</f>
        <v>-62.49237718660723</v>
      </c>
      <c r="F13" s="29">
        <f>SUM(C13:E13)</f>
        <v>5887.127622813392</v>
      </c>
      <c r="G13" s="31">
        <f>ABS('DSMRC Recoveries &amp; Sales'!C8)</f>
        <v>154263.7</v>
      </c>
      <c r="H13" s="32">
        <f>-C13/G13</f>
        <v>0.016911042584872527</v>
      </c>
      <c r="I13" s="33">
        <v>0.0168</v>
      </c>
      <c r="J13" s="17">
        <f>H13-I13</f>
        <v>0.00011104258487252758</v>
      </c>
      <c r="L13" s="34"/>
      <c r="M13" s="34"/>
      <c r="N13" s="35"/>
    </row>
    <row r="14" spans="2:14" ht="15">
      <c r="B14" s="36">
        <f>EDATE(B13,1)</f>
        <v>43374</v>
      </c>
      <c r="C14" s="29">
        <f>+-1*'DSMRC Recoveries &amp; Sales'!I9</f>
        <v>-3592.64</v>
      </c>
      <c r="D14" s="30">
        <f>'DSMRC Costs'!Y14</f>
        <v>10545.18</v>
      </c>
      <c r="E14" s="29">
        <f aca="true" t="shared" si="0" ref="E14:E23">E$25*(G14/G$25)</f>
        <v>-86.51247564230617</v>
      </c>
      <c r="F14" s="29">
        <f>SUM(C14:E14)</f>
        <v>6866.027524357694</v>
      </c>
      <c r="G14" s="31">
        <f>ABS('DSMRC Recoveries &amp; Sales'!C9)</f>
        <v>213557.8</v>
      </c>
      <c r="H14" s="32">
        <f>-C14/G14</f>
        <v>0.01682279926090267</v>
      </c>
      <c r="I14" s="32">
        <f>I13</f>
        <v>0.0168</v>
      </c>
      <c r="J14" s="17">
        <f aca="true" t="shared" si="1" ref="J14:J24">H14-I14</f>
        <v>2.2799260902671425E-05</v>
      </c>
      <c r="L14" s="34"/>
      <c r="M14" s="34"/>
      <c r="N14" s="35"/>
    </row>
    <row r="15" spans="2:14" ht="15">
      <c r="B15" s="36">
        <f aca="true" t="shared" si="2" ref="B15:B24">EDATE(B14,1)</f>
        <v>43405</v>
      </c>
      <c r="C15" s="29">
        <f>+-1*'DSMRC Recoveries &amp; Sales'!I10</f>
        <v>-14801.6</v>
      </c>
      <c r="D15" s="30">
        <f>'DSMRC Costs'!Y15</f>
        <v>5758.02</v>
      </c>
      <c r="E15" s="29">
        <f t="shared" si="0"/>
        <v>-356.3136222056351</v>
      </c>
      <c r="F15" s="29">
        <f aca="true" t="shared" si="3" ref="F15:F21">SUM(C15:E15)</f>
        <v>-9399.893622205635</v>
      </c>
      <c r="G15" s="31">
        <f>ABS('DSMRC Recoveries &amp; Sales'!C10)</f>
        <v>879567.4</v>
      </c>
      <c r="H15" s="32">
        <f aca="true" t="shared" si="4" ref="H15:H24">-C15/G15</f>
        <v>0.016828272625838567</v>
      </c>
      <c r="I15" s="32">
        <f>I14</f>
        <v>0.0168</v>
      </c>
      <c r="J15" s="17">
        <f t="shared" si="1"/>
        <v>2.8272625838567794E-05</v>
      </c>
      <c r="L15" s="34"/>
      <c r="M15" s="34"/>
      <c r="N15" s="35"/>
    </row>
    <row r="16" spans="2:14" ht="15">
      <c r="B16" s="36">
        <f t="shared" si="2"/>
        <v>43435</v>
      </c>
      <c r="C16" s="29">
        <f>+-1*'DSMRC Recoveries &amp; Sales'!I11</f>
        <v>-25690.08</v>
      </c>
      <c r="D16" s="30">
        <f>'DSMRC Costs'!Y16</f>
        <v>11351.58</v>
      </c>
      <c r="E16" s="29">
        <f t="shared" si="0"/>
        <v>-619.609454563152</v>
      </c>
      <c r="F16" s="29">
        <f t="shared" si="3"/>
        <v>-14958.109454563153</v>
      </c>
      <c r="G16" s="31">
        <f>ABS('DSMRC Recoveries &amp; Sales'!C11)</f>
        <v>1529518.5</v>
      </c>
      <c r="H16" s="32">
        <f t="shared" si="4"/>
        <v>0.01679618781989234</v>
      </c>
      <c r="I16" s="32">
        <f>I15</f>
        <v>0.0168</v>
      </c>
      <c r="J16" s="17">
        <f t="shared" si="1"/>
        <v>-3.8121801076602957E-06</v>
      </c>
      <c r="L16" s="34"/>
      <c r="M16" s="34"/>
      <c r="N16" s="35"/>
    </row>
    <row r="17" spans="2:14" ht="15">
      <c r="B17" s="36">
        <f t="shared" si="2"/>
        <v>43466</v>
      </c>
      <c r="C17" s="29">
        <f>+-1*'DSMRC Recoveries &amp; Sales'!I12</f>
        <v>-15072.73</v>
      </c>
      <c r="D17" s="30">
        <f>'DSMRC Costs'!Y19</f>
        <v>17673.059999999998</v>
      </c>
      <c r="E17" s="29">
        <f t="shared" si="0"/>
        <v>-673.7420462439273</v>
      </c>
      <c r="F17" s="29">
        <f t="shared" si="3"/>
        <v>1926.5879537560709</v>
      </c>
      <c r="G17" s="31">
        <f>ABS('DSMRC Recoveries &amp; Sales'!C12)</f>
        <v>1663145.9</v>
      </c>
      <c r="H17" s="32">
        <f t="shared" si="4"/>
        <v>0.009062782766082038</v>
      </c>
      <c r="I17" s="33">
        <v>0.0019</v>
      </c>
      <c r="J17" s="17">
        <f t="shared" si="1"/>
        <v>0.0071627827660820384</v>
      </c>
      <c r="L17" s="34"/>
      <c r="M17" s="34"/>
      <c r="N17" s="35"/>
    </row>
    <row r="18" spans="2:14" ht="15">
      <c r="B18" s="36">
        <f t="shared" si="2"/>
        <v>43497</v>
      </c>
      <c r="C18" s="29">
        <f>+-1*'DSMRC Recoveries &amp; Sales'!I13</f>
        <v>-3807.74</v>
      </c>
      <c r="D18" s="30">
        <f>'DSMRC Costs'!Y20</f>
        <v>14855.479999999998</v>
      </c>
      <c r="E18" s="29">
        <f t="shared" si="0"/>
        <v>-803.3488408427315</v>
      </c>
      <c r="F18" s="29">
        <f t="shared" si="3"/>
        <v>10244.391159157267</v>
      </c>
      <c r="G18" s="31">
        <f>ABS('DSMRC Recoveries &amp; Sales'!C13)</f>
        <v>1983082.9</v>
      </c>
      <c r="H18" s="32">
        <f t="shared" si="4"/>
        <v>0.00192011135792659</v>
      </c>
      <c r="I18" s="32">
        <f>I17</f>
        <v>0.0019</v>
      </c>
      <c r="J18" s="17">
        <f t="shared" si="1"/>
        <v>2.0111357926590016E-05</v>
      </c>
      <c r="L18" s="34"/>
      <c r="M18" s="34"/>
      <c r="N18" s="35"/>
    </row>
    <row r="19" spans="2:14" ht="15">
      <c r="B19" s="36">
        <f t="shared" si="2"/>
        <v>43525</v>
      </c>
      <c r="C19" s="29">
        <f>+-1*'DSMRC Recoveries &amp; Sales'!I14</f>
        <v>-3695.37</v>
      </c>
      <c r="D19" s="30">
        <f>'DSMRC Costs'!Y21</f>
        <v>7591.07</v>
      </c>
      <c r="E19" s="29">
        <f t="shared" si="0"/>
        <v>-711.0140917694316</v>
      </c>
      <c r="F19" s="29">
        <f t="shared" si="3"/>
        <v>3184.685908230568</v>
      </c>
      <c r="G19" s="31">
        <f>ABS('DSMRC Recoveries &amp; Sales'!C14)</f>
        <v>1755152.7</v>
      </c>
      <c r="H19" s="32">
        <f t="shared" si="4"/>
        <v>0.002105440740284307</v>
      </c>
      <c r="I19" s="32">
        <f aca="true" t="shared" si="5" ref="I19:I24">I18</f>
        <v>0.0019</v>
      </c>
      <c r="J19" s="17">
        <f t="shared" si="1"/>
        <v>0.00020544074028430704</v>
      </c>
      <c r="L19" s="34"/>
      <c r="M19" s="34"/>
      <c r="N19" s="35"/>
    </row>
    <row r="20" spans="2:16" ht="15">
      <c r="B20" s="36">
        <f t="shared" si="2"/>
        <v>43556</v>
      </c>
      <c r="C20" s="29">
        <f>+-1*'DSMRC Recoveries &amp; Sales'!I15</f>
        <v>-2064.72</v>
      </c>
      <c r="D20" s="30">
        <f>'DSMRC Costs'!Y22</f>
        <v>11116.81</v>
      </c>
      <c r="E20" s="29">
        <f t="shared" si="0"/>
        <v>-387.3205379007438</v>
      </c>
      <c r="F20" s="29">
        <f t="shared" si="3"/>
        <v>8664.769462099257</v>
      </c>
      <c r="G20" s="31">
        <f>ABS('DSMRC Recoveries &amp; Sales'!C15)</f>
        <v>956108.6</v>
      </c>
      <c r="H20" s="32">
        <f>-C20/G20</f>
        <v>0.0021595036379758533</v>
      </c>
      <c r="I20" s="32">
        <f t="shared" si="5"/>
        <v>0.0019</v>
      </c>
      <c r="J20" s="17">
        <f t="shared" si="1"/>
        <v>0.00025950363797585326</v>
      </c>
      <c r="L20" s="34"/>
      <c r="M20" s="34"/>
      <c r="N20" s="35"/>
      <c r="P20" s="35"/>
    </row>
    <row r="21" spans="2:16" ht="15">
      <c r="B21" s="36">
        <f t="shared" si="2"/>
        <v>43586</v>
      </c>
      <c r="C21" s="29">
        <f>+-1*'DSMRC Recoveries &amp; Sales'!I16</f>
        <v>-704.55</v>
      </c>
      <c r="D21" s="30">
        <f>'DSMRC Costs'!Y23</f>
        <v>13826.74</v>
      </c>
      <c r="E21" s="29">
        <f t="shared" si="0"/>
        <v>-154.76915630861336</v>
      </c>
      <c r="F21" s="29">
        <f t="shared" si="3"/>
        <v>12967.420843691387</v>
      </c>
      <c r="G21" s="31">
        <f>ABS('DSMRC Recoveries &amp; Sales'!C16)</f>
        <v>382050.8</v>
      </c>
      <c r="H21" s="32">
        <f>-C21/G21</f>
        <v>0.001844126487891139</v>
      </c>
      <c r="I21" s="32">
        <f t="shared" si="5"/>
        <v>0.0019</v>
      </c>
      <c r="J21" s="17">
        <f>H21-I21</f>
        <v>-5.587351210886108E-05</v>
      </c>
      <c r="L21" s="34"/>
      <c r="M21" s="34"/>
      <c r="N21" s="35"/>
      <c r="P21" s="35"/>
    </row>
    <row r="22" spans="2:16" ht="15">
      <c r="B22" s="36">
        <f t="shared" si="2"/>
        <v>43617</v>
      </c>
      <c r="C22" s="29">
        <f>+-1*'DSMRC Recoveries &amp; Sales'!I17</f>
        <v>-181.33</v>
      </c>
      <c r="D22" s="30">
        <f>'DSMRC Costs'!Y24</f>
        <v>6579.74</v>
      </c>
      <c r="E22" s="29">
        <f t="shared" si="0"/>
        <v>-80.24617101904721</v>
      </c>
      <c r="F22" s="29">
        <f>SUM(C22:E22)</f>
        <v>6318.1638289809525</v>
      </c>
      <c r="G22" s="31">
        <f>ABS('DSMRC Recoveries &amp; Sales'!C17)</f>
        <v>198089.3</v>
      </c>
      <c r="H22" s="32">
        <f t="shared" si="4"/>
        <v>0.000915395228313695</v>
      </c>
      <c r="I22" s="32">
        <f t="shared" si="5"/>
        <v>0.0019</v>
      </c>
      <c r="J22" s="17">
        <f t="shared" si="1"/>
        <v>-0.000984604771686305</v>
      </c>
      <c r="L22" s="34"/>
      <c r="M22" s="34"/>
      <c r="N22" s="35"/>
      <c r="P22" s="35"/>
    </row>
    <row r="23" spans="2:16" ht="15">
      <c r="B23" s="36">
        <f t="shared" si="2"/>
        <v>43647</v>
      </c>
      <c r="C23" s="29">
        <f>+-1*'DSMRC Recoveries &amp; Sales'!I18</f>
        <v>-84.04</v>
      </c>
      <c r="D23" s="30">
        <f>'DSMRC Costs'!Y25</f>
        <v>5726.85</v>
      </c>
      <c r="E23" s="29">
        <f t="shared" si="0"/>
        <v>-59.94149677918573</v>
      </c>
      <c r="F23" s="29">
        <f>SUM(C23:E23)</f>
        <v>5582.868503220815</v>
      </c>
      <c r="G23" s="31">
        <f>ABS('DSMRC Recoveries &amp; Sales'!C18)</f>
        <v>147966.8</v>
      </c>
      <c r="H23" s="32">
        <f t="shared" si="4"/>
        <v>0.0005679652462579444</v>
      </c>
      <c r="I23" s="32">
        <f t="shared" si="5"/>
        <v>0.0019</v>
      </c>
      <c r="J23" s="17">
        <f t="shared" si="1"/>
        <v>-0.0013320347537420555</v>
      </c>
      <c r="L23" s="34"/>
      <c r="M23" s="34"/>
      <c r="N23" s="35"/>
      <c r="P23" s="35"/>
    </row>
    <row r="24" spans="2:16" ht="15">
      <c r="B24" s="36">
        <f t="shared" si="2"/>
        <v>43678</v>
      </c>
      <c r="C24" s="29">
        <f>+-1*'DSMRC Recoveries &amp; Sales'!I19</f>
        <v>-115.43</v>
      </c>
      <c r="D24" s="30">
        <f>'DSMRC Costs'!Y26</f>
        <v>17563.68</v>
      </c>
      <c r="E24" s="29">
        <f>E$25*(G24/G$25)</f>
        <v>-66.57137953861658</v>
      </c>
      <c r="F24" s="29">
        <f>SUM(C24:E24)</f>
        <v>17381.67862046138</v>
      </c>
      <c r="G24" s="31">
        <f>ABS('DSMRC Recoveries &amp; Sales'!C19)</f>
        <v>164332.8</v>
      </c>
      <c r="H24" s="32">
        <f t="shared" si="4"/>
        <v>0.0007024160727499319</v>
      </c>
      <c r="I24" s="32">
        <f t="shared" si="5"/>
        <v>0.0019</v>
      </c>
      <c r="J24" s="17">
        <f t="shared" si="1"/>
        <v>-0.001197583927250068</v>
      </c>
      <c r="L24" s="34"/>
      <c r="M24" s="37"/>
      <c r="N24" s="35"/>
      <c r="P24" s="35"/>
    </row>
    <row r="25" spans="3:13" ht="15">
      <c r="C25" s="38">
        <f>SUM(C13:C24)</f>
        <v>-72418.98999999999</v>
      </c>
      <c r="D25" s="39">
        <f>SUM(D13:D24)</f>
        <v>131146.59</v>
      </c>
      <c r="E25" s="40">
        <f>+'DIA + DLSA Revenue'!B12+'DIA + DLSA Revenue'!B14</f>
        <v>-4061.881649999999</v>
      </c>
      <c r="F25" s="38">
        <f>SUM(F11:F24)</f>
        <v>-220871.68725000008</v>
      </c>
      <c r="G25" s="41">
        <f>SUM(G13:G24)</f>
        <v>10026837.200000003</v>
      </c>
      <c r="M25" s="42"/>
    </row>
    <row r="26" spans="3:7" ht="5.25" customHeight="1">
      <c r="C26" s="34"/>
      <c r="D26" s="34"/>
      <c r="E26" s="34"/>
      <c r="F26" s="34"/>
      <c r="G26" s="16"/>
    </row>
    <row r="27" spans="1:7" ht="12.75">
      <c r="A27" s="43" t="str">
        <f>CONCATENATE("Annual Average Commercial Paper Rate at ",TEXT(EDATE(B24,1),"MMMM YYYY"))</f>
        <v>Annual Average Commercial Paper Rate at September 2019</v>
      </c>
      <c r="B27" s="4"/>
      <c r="C27" s="4"/>
      <c r="E27" s="44">
        <v>0.0231</v>
      </c>
      <c r="F27" s="45">
        <f>ROUND(F25*E27,2)</f>
        <v>-5102.14</v>
      </c>
      <c r="G27" s="46"/>
    </row>
    <row r="28" spans="1:7" ht="12.75">
      <c r="A28" t="s">
        <v>51</v>
      </c>
      <c r="F28" s="29">
        <f>SUM(F25:F27)</f>
        <v>-225973.8272500001</v>
      </c>
      <c r="G28" s="47"/>
    </row>
    <row r="29" ht="5.25" customHeight="1">
      <c r="G29" s="16"/>
    </row>
    <row r="30" spans="1:6" ht="12.75">
      <c r="A30" t="s">
        <v>24</v>
      </c>
      <c r="D30" s="35"/>
      <c r="E30" s="35"/>
      <c r="F30" s="48">
        <f>G25</f>
        <v>10026837.200000003</v>
      </c>
    </row>
    <row r="31" ht="5.25" customHeight="1">
      <c r="G31" s="16"/>
    </row>
    <row r="32" spans="1:10" ht="12.75">
      <c r="A32" t="s">
        <v>52</v>
      </c>
      <c r="F32" s="49">
        <f>ROUND(F28/F30,4)</f>
        <v>-0.0225</v>
      </c>
      <c r="G32" s="50"/>
      <c r="J32" s="51"/>
    </row>
    <row r="33" spans="6:7" ht="5.25" customHeight="1">
      <c r="F33" s="49"/>
      <c r="G33" s="16"/>
    </row>
    <row r="34" spans="1:10" ht="12.75">
      <c r="A34" t="s">
        <v>53</v>
      </c>
      <c r="C34" s="52"/>
      <c r="F34" s="49">
        <f>ROUND((180000/F30),4)</f>
        <v>0.018</v>
      </c>
      <c r="G34" s="49"/>
      <c r="J34" s="51"/>
    </row>
    <row r="35" spans="6:7" ht="5.25" customHeight="1">
      <c r="F35" s="49"/>
      <c r="G35" s="16"/>
    </row>
    <row r="36" spans="1:10" ht="12.75">
      <c r="A36" t="s">
        <v>54</v>
      </c>
      <c r="F36" s="49">
        <f>ROUND(DLSA!E35,4)</f>
        <v>0.0002</v>
      </c>
      <c r="G36" s="16"/>
      <c r="J36" s="51"/>
    </row>
    <row r="37" spans="1:7" ht="5.25" customHeight="1">
      <c r="A37" s="53"/>
      <c r="B37" s="53"/>
      <c r="F37" s="49"/>
      <c r="G37" s="16"/>
    </row>
    <row r="38" spans="1:10" ht="12.75">
      <c r="A38" t="s">
        <v>55</v>
      </c>
      <c r="F38" s="49">
        <f>IF('DIA + DLSA Revenue'!B12&gt;0,ROUND(('DIA + DLSA Revenue'!B12/F30),4),0)</f>
        <v>0</v>
      </c>
      <c r="G38" s="49"/>
      <c r="J38" s="51"/>
    </row>
    <row r="39" spans="6:7" ht="5.25" customHeight="1">
      <c r="F39" s="49"/>
      <c r="G39" s="16"/>
    </row>
    <row r="40" spans="1:14" ht="13.5" thickBot="1">
      <c r="A40" t="s">
        <v>56</v>
      </c>
      <c r="F40" s="54">
        <f>SUM(F32:F39)</f>
        <v>-0.004300000000000001</v>
      </c>
      <c r="J40" s="51"/>
      <c r="N40" s="55"/>
    </row>
    <row r="41" ht="13.5" thickTop="1"/>
    <row r="42" ht="12.75">
      <c r="A42" s="56"/>
    </row>
    <row r="44" spans="1:10" ht="15.75">
      <c r="A44" s="19" t="s">
        <v>26</v>
      </c>
      <c r="C44" s="6" t="s">
        <v>19</v>
      </c>
      <c r="D44" s="6" t="s">
        <v>20</v>
      </c>
      <c r="E44" s="6" t="s">
        <v>21</v>
      </c>
      <c r="F44" s="20" t="s">
        <v>22</v>
      </c>
      <c r="G44" s="6" t="s">
        <v>32</v>
      </c>
      <c r="H44" s="21" t="s">
        <v>33</v>
      </c>
      <c r="I44" s="21" t="s">
        <v>34</v>
      </c>
      <c r="J44" s="22" t="s">
        <v>35</v>
      </c>
    </row>
    <row r="45" spans="6:7" ht="12.75">
      <c r="F45" s="6" t="s">
        <v>36</v>
      </c>
      <c r="G45" s="16"/>
    </row>
    <row r="46" spans="3:10" ht="12.75">
      <c r="C46" s="6" t="s">
        <v>37</v>
      </c>
      <c r="D46" s="6" t="s">
        <v>37</v>
      </c>
      <c r="E46" s="23" t="s">
        <v>38</v>
      </c>
      <c r="F46" s="6" t="s">
        <v>37</v>
      </c>
      <c r="G46" s="57" t="s">
        <v>57</v>
      </c>
      <c r="H46" s="21" t="s">
        <v>40</v>
      </c>
      <c r="I46" s="21" t="s">
        <v>41</v>
      </c>
      <c r="J46" s="21" t="s">
        <v>42</v>
      </c>
    </row>
    <row r="47" spans="3:10" ht="12.75">
      <c r="C47" s="24" t="s">
        <v>43</v>
      </c>
      <c r="D47" s="24" t="s">
        <v>44</v>
      </c>
      <c r="E47" s="24" t="s">
        <v>45</v>
      </c>
      <c r="F47" s="24" t="s">
        <v>46</v>
      </c>
      <c r="G47" s="25" t="s">
        <v>47</v>
      </c>
      <c r="H47" s="26" t="s">
        <v>42</v>
      </c>
      <c r="I47" s="26" t="s">
        <v>42</v>
      </c>
      <c r="J47" s="26" t="s">
        <v>48</v>
      </c>
    </row>
    <row r="48" spans="1:7" ht="12.75">
      <c r="A48" t="s">
        <v>49</v>
      </c>
      <c r="C48" s="24"/>
      <c r="D48" s="24"/>
      <c r="E48" s="24"/>
      <c r="F48" s="27">
        <v>79852.57916000011</v>
      </c>
      <c r="G48" s="20" t="s">
        <v>50</v>
      </c>
    </row>
    <row r="49" spans="3:7" ht="6" customHeight="1">
      <c r="C49" s="24"/>
      <c r="D49" s="24"/>
      <c r="E49" s="24"/>
      <c r="F49" s="28"/>
      <c r="G49" s="20"/>
    </row>
    <row r="50" spans="2:14" ht="15">
      <c r="B50" s="36">
        <f>B13</f>
        <v>43344</v>
      </c>
      <c r="C50" s="29">
        <f>+-1*'DSMRC Recoveries &amp; Sales'!G8</f>
        <v>2715.48</v>
      </c>
      <c r="D50" s="30">
        <f>'DSMRC Costs'!AA13</f>
        <v>0</v>
      </c>
      <c r="E50" s="29">
        <f>E$62*(G50/G$62)</f>
        <v>-12.464630212395507</v>
      </c>
      <c r="F50" s="29">
        <f>SUM(C50:E50)</f>
        <v>2703.0153697876044</v>
      </c>
      <c r="G50" s="31">
        <f>ABS('DSMRC Recoveries &amp; Sales'!A8)</f>
        <v>210076.6</v>
      </c>
      <c r="H50" s="32">
        <f>-(C50/G50)</f>
        <v>-0.012926142178614848</v>
      </c>
      <c r="I50" s="33">
        <v>-0.0129</v>
      </c>
      <c r="J50" s="17">
        <f aca="true" t="shared" si="6" ref="J50:J56">H50-I50</f>
        <v>-2.6142178614848438E-05</v>
      </c>
      <c r="L50" s="37"/>
      <c r="M50" s="58"/>
      <c r="N50" s="35"/>
    </row>
    <row r="51" spans="2:14" ht="15">
      <c r="B51" s="36">
        <f aca="true" t="shared" si="7" ref="B51:B61">B14</f>
        <v>43374</v>
      </c>
      <c r="C51" s="29">
        <f>+-1*'DSMRC Recoveries &amp; Sales'!G9</f>
        <v>2429.59</v>
      </c>
      <c r="D51" s="30">
        <f>'DSMRC Costs'!AA14</f>
        <v>0</v>
      </c>
      <c r="E51" s="29">
        <f aca="true" t="shared" si="8" ref="E51:E60">E$62*(G51/G$62)</f>
        <v>-11.13769640060023</v>
      </c>
      <c r="F51" s="29">
        <f aca="true" t="shared" si="9" ref="F51:F56">SUM(C51:E51)</f>
        <v>2418.4523035994</v>
      </c>
      <c r="G51" s="31">
        <f>ABS('DSMRC Recoveries &amp; Sales'!A9)</f>
        <v>187712.7</v>
      </c>
      <c r="H51" s="32">
        <f aca="true" t="shared" si="10" ref="H51:H61">-(C51/G51)</f>
        <v>-0.012943130645928592</v>
      </c>
      <c r="I51" s="32">
        <f>I50</f>
        <v>-0.0129</v>
      </c>
      <c r="J51" s="17">
        <f t="shared" si="6"/>
        <v>-4.313064592859246E-05</v>
      </c>
      <c r="L51" s="37"/>
      <c r="M51" s="34"/>
      <c r="N51" s="35"/>
    </row>
    <row r="52" spans="2:14" ht="15">
      <c r="B52" s="36">
        <f t="shared" si="7"/>
        <v>43405</v>
      </c>
      <c r="C52" s="29">
        <f>+-1*'DSMRC Recoveries &amp; Sales'!G10</f>
        <v>5396.26</v>
      </c>
      <c r="D52" s="30">
        <f>'DSMRC Costs'!AA15</f>
        <v>0</v>
      </c>
      <c r="E52" s="29">
        <f t="shared" si="8"/>
        <v>-24.888652413630492</v>
      </c>
      <c r="F52" s="29">
        <f t="shared" si="9"/>
        <v>5371.37134758637</v>
      </c>
      <c r="G52" s="31">
        <f>ABS('DSMRC Recoveries &amp; Sales'!A10)</f>
        <v>419468.8</v>
      </c>
      <c r="H52" s="32">
        <f t="shared" si="10"/>
        <v>-0.01286450863568399</v>
      </c>
      <c r="I52" s="32">
        <f>I51</f>
        <v>-0.0129</v>
      </c>
      <c r="J52" s="17">
        <f t="shared" si="6"/>
        <v>3.5491364316009993E-05</v>
      </c>
      <c r="L52" s="37"/>
      <c r="M52" s="34"/>
      <c r="N52" s="35"/>
    </row>
    <row r="53" spans="2:14" ht="15">
      <c r="B53" s="36">
        <f t="shared" si="7"/>
        <v>43435</v>
      </c>
      <c r="C53" s="29">
        <f>+-1*'DSMRC Recoveries &amp; Sales'!G11</f>
        <v>8912.66</v>
      </c>
      <c r="D53" s="30">
        <f>'DSMRC Costs'!AA16</f>
        <v>0</v>
      </c>
      <c r="E53" s="29">
        <f t="shared" si="8"/>
        <v>-41.00471654131665</v>
      </c>
      <c r="F53" s="29">
        <f t="shared" si="9"/>
        <v>8871.655283458684</v>
      </c>
      <c r="G53" s="31">
        <f>ABS('DSMRC Recoveries &amp; Sales'!A11)</f>
        <v>691086</v>
      </c>
      <c r="H53" s="32">
        <f t="shared" si="10"/>
        <v>-0.01289660042310219</v>
      </c>
      <c r="I53" s="32">
        <f>I52</f>
        <v>-0.0129</v>
      </c>
      <c r="J53" s="17">
        <f t="shared" si="6"/>
        <v>3.3995768978101887E-06</v>
      </c>
      <c r="L53" s="37"/>
      <c r="M53" s="34"/>
      <c r="N53" s="35"/>
    </row>
    <row r="54" spans="2:14" ht="15">
      <c r="B54" s="36">
        <f t="shared" si="7"/>
        <v>43466</v>
      </c>
      <c r="C54" s="29">
        <f>+-1*'DSMRC Recoveries &amp; Sales'!G12</f>
        <v>-2846.62</v>
      </c>
      <c r="D54" s="30">
        <f>'DSMRC Costs'!AA19</f>
        <v>0</v>
      </c>
      <c r="E54" s="29">
        <f t="shared" si="8"/>
        <v>-1.78145992151933</v>
      </c>
      <c r="F54" s="29">
        <f>SUM(C54:E54)</f>
        <v>-2848.4014599215193</v>
      </c>
      <c r="G54" s="31">
        <f>ABS('DSMRC Recoveries &amp; Sales'!A12)</f>
        <v>30024.4</v>
      </c>
      <c r="H54" s="32">
        <f t="shared" si="10"/>
        <v>0.09481022102023687</v>
      </c>
      <c r="I54" s="33">
        <v>0.0191</v>
      </c>
      <c r="J54" s="17">
        <f t="shared" si="6"/>
        <v>0.07571022102023686</v>
      </c>
      <c r="L54" s="37"/>
      <c r="M54" s="34"/>
      <c r="N54" s="35"/>
    </row>
    <row r="55" spans="2:14" ht="15">
      <c r="B55" s="36">
        <f t="shared" si="7"/>
        <v>43497</v>
      </c>
      <c r="C55" s="29">
        <f>+-1*'DSMRC Recoveries &amp; Sales'!G13</f>
        <v>-16982.04</v>
      </c>
      <c r="D55" s="30">
        <f>'DSMRC Costs'!AA20</f>
        <v>1718.94</v>
      </c>
      <c r="E55" s="29">
        <f t="shared" si="8"/>
        <v>-52.703253245675725</v>
      </c>
      <c r="F55" s="29">
        <f t="shared" si="9"/>
        <v>-15315.803253245676</v>
      </c>
      <c r="G55" s="31">
        <f>ABS('DSMRC Recoveries &amp; Sales'!A13)</f>
        <v>888251</v>
      </c>
      <c r="H55" s="32">
        <f t="shared" si="10"/>
        <v>0.019118514924272533</v>
      </c>
      <c r="I55" s="32">
        <f>I54</f>
        <v>0.0191</v>
      </c>
      <c r="J55" s="17">
        <f t="shared" si="6"/>
        <v>1.8514924272534233E-05</v>
      </c>
      <c r="L55" s="37"/>
      <c r="M55" s="34"/>
      <c r="N55" s="35"/>
    </row>
    <row r="56" spans="2:14" ht="15">
      <c r="B56" s="36">
        <f t="shared" si="7"/>
        <v>43525</v>
      </c>
      <c r="C56" s="29">
        <f>+-1*'DSMRC Recoveries &amp; Sales'!G14</f>
        <v>-15551.99</v>
      </c>
      <c r="D56" s="30">
        <f>'DSMRC Costs'!AA21</f>
        <v>0</v>
      </c>
      <c r="E56" s="29">
        <f t="shared" si="8"/>
        <v>-47.87744442901633</v>
      </c>
      <c r="F56" s="29">
        <f t="shared" si="9"/>
        <v>-15599.867444429015</v>
      </c>
      <c r="G56" s="31">
        <f>ABS('DSMRC Recoveries &amp; Sales'!A14)</f>
        <v>806917.7</v>
      </c>
      <c r="H56" s="32">
        <f t="shared" si="10"/>
        <v>0.019273328618271728</v>
      </c>
      <c r="I56" s="32">
        <f aca="true" t="shared" si="11" ref="I56:I61">I55</f>
        <v>0.0191</v>
      </c>
      <c r="J56" s="17">
        <f t="shared" si="6"/>
        <v>0.00017332861827172932</v>
      </c>
      <c r="L56" s="37"/>
      <c r="M56" s="34"/>
      <c r="N56" s="35"/>
    </row>
    <row r="57" spans="2:13" ht="15">
      <c r="B57" s="36">
        <f t="shared" si="7"/>
        <v>43556</v>
      </c>
      <c r="C57" s="29">
        <f>+-1*'DSMRC Recoveries &amp; Sales'!G15</f>
        <v>-8447.42</v>
      </c>
      <c r="D57" s="30">
        <f>'DSMRC Costs'!AA22</f>
        <v>0</v>
      </c>
      <c r="E57" s="29">
        <f t="shared" si="8"/>
        <v>-26.09071837111936</v>
      </c>
      <c r="F57" s="29">
        <f>SUM(C57:E57)</f>
        <v>-8473.510718371119</v>
      </c>
      <c r="G57" s="31">
        <f>ABS('DSMRC Recoveries &amp; Sales'!A15)</f>
        <v>439728.2</v>
      </c>
      <c r="H57" s="32">
        <f t="shared" si="10"/>
        <v>0.01921054869803665</v>
      </c>
      <c r="I57" s="32">
        <f t="shared" si="11"/>
        <v>0.0191</v>
      </c>
      <c r="J57" s="17">
        <f>H57-I57</f>
        <v>0.0001105486980366513</v>
      </c>
      <c r="L57" s="37"/>
      <c r="M57" s="34"/>
    </row>
    <row r="58" spans="1:13" ht="15">
      <c r="A58" s="59"/>
      <c r="B58" s="36">
        <f t="shared" si="7"/>
        <v>43586</v>
      </c>
      <c r="C58" s="29">
        <f>+-1*'DSMRC Recoveries &amp; Sales'!G16</f>
        <v>-4007.01</v>
      </c>
      <c r="D58" s="30">
        <f>'DSMRC Costs'!AA23</f>
        <v>0</v>
      </c>
      <c r="E58" s="29">
        <f t="shared" si="8"/>
        <v>-12.402044984207146</v>
      </c>
      <c r="F58" s="29">
        <f>SUM(C58:E58)</f>
        <v>-4019.4120449842076</v>
      </c>
      <c r="G58" s="31">
        <f>ABS('DSMRC Recoveries &amp; Sales'!A16)</f>
        <v>209021.8</v>
      </c>
      <c r="H58" s="32">
        <f>-(C58/G58)</f>
        <v>0.019170297069492276</v>
      </c>
      <c r="I58" s="32">
        <f t="shared" si="11"/>
        <v>0.0191</v>
      </c>
      <c r="J58" s="17">
        <f>H58-I58</f>
        <v>7.029706949227693E-05</v>
      </c>
      <c r="L58" s="37"/>
      <c r="M58" s="34"/>
    </row>
    <row r="59" spans="1:13" ht="15">
      <c r="A59" s="59"/>
      <c r="B59" s="36">
        <f t="shared" si="7"/>
        <v>43617</v>
      </c>
      <c r="C59" s="29">
        <f>+-1*'DSMRC Recoveries &amp; Sales'!G17</f>
        <v>-3030.67</v>
      </c>
      <c r="D59" s="30">
        <f>'DSMRC Costs'!AA24</f>
        <v>0</v>
      </c>
      <c r="E59" s="29">
        <f t="shared" si="8"/>
        <v>-9.442418735379336</v>
      </c>
      <c r="F59" s="29">
        <f>SUM(C59:E59)</f>
        <v>-3040.1124187353794</v>
      </c>
      <c r="G59" s="31">
        <f>ABS('DSMRC Recoveries &amp; Sales'!A17)</f>
        <v>159140.8</v>
      </c>
      <c r="H59" s="32">
        <f t="shared" si="10"/>
        <v>0.019043953530458565</v>
      </c>
      <c r="I59" s="32">
        <f t="shared" si="11"/>
        <v>0.0191</v>
      </c>
      <c r="J59" s="17">
        <f>H59-I59</f>
        <v>-5.604646954143408E-05</v>
      </c>
      <c r="L59" s="37"/>
      <c r="M59" s="34"/>
    </row>
    <row r="60" spans="1:13" ht="15">
      <c r="A60" s="59"/>
      <c r="B60" s="36">
        <f t="shared" si="7"/>
        <v>43647</v>
      </c>
      <c r="C60" s="29">
        <f>+-1*'DSMRC Recoveries &amp; Sales'!G18</f>
        <v>-2760.4</v>
      </c>
      <c r="D60" s="30">
        <f>'DSMRC Costs'!AA25</f>
        <v>0</v>
      </c>
      <c r="E60" s="29">
        <f t="shared" si="8"/>
        <v>-8.572046180565279</v>
      </c>
      <c r="F60" s="29">
        <f>SUM(C60:E60)</f>
        <v>-2768.9720461805655</v>
      </c>
      <c r="G60" s="31">
        <f>ABS('DSMRC Recoveries &amp; Sales'!A18)</f>
        <v>144471.7</v>
      </c>
      <c r="H60" s="32">
        <f t="shared" si="10"/>
        <v>0.019106856221668325</v>
      </c>
      <c r="I60" s="32">
        <f t="shared" si="11"/>
        <v>0.0191</v>
      </c>
      <c r="J60" s="17">
        <f>H60-I60</f>
        <v>6.856221668325585E-06</v>
      </c>
      <c r="L60" s="37"/>
      <c r="M60" s="34"/>
    </row>
    <row r="61" spans="1:13" ht="15">
      <c r="A61" s="59"/>
      <c r="B61" s="36">
        <f t="shared" si="7"/>
        <v>43678</v>
      </c>
      <c r="C61" s="29">
        <f>+-1*'DSMRC Recoveries &amp; Sales'!G19</f>
        <v>-3051.18</v>
      </c>
      <c r="D61" s="30">
        <f>'DSMRC Costs'!AA26</f>
        <v>0</v>
      </c>
      <c r="E61" s="29">
        <f>E$62*(G61/G$62)</f>
        <v>-9.475918564574584</v>
      </c>
      <c r="F61" s="29">
        <f>SUM(C61:E61)</f>
        <v>-3060.655918564574</v>
      </c>
      <c r="G61" s="31">
        <f>ABS('DSMRC Recoveries &amp; Sales'!A19)</f>
        <v>159705.4</v>
      </c>
      <c r="H61" s="32">
        <f t="shared" si="10"/>
        <v>0.01910505217732149</v>
      </c>
      <c r="I61" s="32">
        <f t="shared" si="11"/>
        <v>0.0191</v>
      </c>
      <c r="J61" s="17">
        <f>H61-I61</f>
        <v>5.05217732149274E-06</v>
      </c>
      <c r="L61" s="37"/>
      <c r="M61" s="34"/>
    </row>
    <row r="62" spans="3:12" ht="15">
      <c r="C62" s="38">
        <f>SUM(C50:C61)</f>
        <v>-37223.340000000004</v>
      </c>
      <c r="D62" s="60">
        <f>SUM(D50:D61)</f>
        <v>1718.94</v>
      </c>
      <c r="E62" s="40">
        <f>+'DIA + DLSA Revenue'!C12+'DIA + DLSA Revenue'!C14</f>
        <v>-257.841</v>
      </c>
      <c r="F62" s="38">
        <f>SUM(F48:F61)</f>
        <v>44090.33816000014</v>
      </c>
      <c r="G62" s="41">
        <f>SUM(G50:G61)</f>
        <v>4345605.100000001</v>
      </c>
      <c r="L62" s="52"/>
    </row>
    <row r="63" spans="3:7" ht="5.25" customHeight="1">
      <c r="C63" s="34"/>
      <c r="D63" s="34"/>
      <c r="E63" s="34"/>
      <c r="F63" s="34"/>
      <c r="G63" s="16"/>
    </row>
    <row r="64" spans="1:7" ht="12.75">
      <c r="A64" s="43" t="str">
        <f>A27</f>
        <v>Annual Average Commercial Paper Rate at September 2019</v>
      </c>
      <c r="B64" s="4"/>
      <c r="C64" s="4"/>
      <c r="E64" s="61">
        <f>E27</f>
        <v>0.0231</v>
      </c>
      <c r="F64" s="45">
        <f>ROUND(F62*E64,2)</f>
        <v>1018.49</v>
      </c>
      <c r="G64" s="46"/>
    </row>
    <row r="65" spans="1:7" ht="12.75">
      <c r="A65" t="s">
        <v>58</v>
      </c>
      <c r="F65" s="29">
        <f>SUM(F62:F64)</f>
        <v>45108.828160000136</v>
      </c>
      <c r="G65" s="47"/>
    </row>
    <row r="66" ht="5.25" customHeight="1">
      <c r="G66" s="16"/>
    </row>
    <row r="67" spans="1:6" ht="12.75">
      <c r="A67" t="s">
        <v>27</v>
      </c>
      <c r="D67" s="35"/>
      <c r="E67" s="35"/>
      <c r="F67" s="48">
        <f>G62</f>
        <v>4345605.100000001</v>
      </c>
    </row>
    <row r="68" ht="5.25" customHeight="1">
      <c r="G68" s="16"/>
    </row>
    <row r="69" spans="1:10" ht="12.75">
      <c r="A69" t="s">
        <v>52</v>
      </c>
      <c r="F69" s="49">
        <f>ROUND(F65/F67,4)</f>
        <v>0.0104</v>
      </c>
      <c r="G69" s="50"/>
      <c r="J69" s="51"/>
    </row>
    <row r="70" spans="6:7" ht="5.25" customHeight="1">
      <c r="F70" s="49"/>
      <c r="G70" s="16"/>
    </row>
    <row r="71" spans="1:10" ht="12.75">
      <c r="A71" t="s">
        <v>53</v>
      </c>
      <c r="F71" s="49">
        <f>ROUND((0/F67),4)</f>
        <v>0</v>
      </c>
      <c r="G71" s="49"/>
      <c r="J71" s="51"/>
    </row>
    <row r="72" spans="6:7" ht="5.25" customHeight="1">
      <c r="F72" s="49"/>
      <c r="G72" s="49"/>
    </row>
    <row r="73" spans="1:10" ht="12.75">
      <c r="A73" t="s">
        <v>54</v>
      </c>
      <c r="F73" s="49">
        <f>ROUND(DLSA!E58,4)</f>
        <v>0</v>
      </c>
      <c r="G73" s="49"/>
      <c r="J73" s="51"/>
    </row>
    <row r="74" spans="1:7" ht="5.25" customHeight="1">
      <c r="A74" s="53"/>
      <c r="B74" s="53"/>
      <c r="F74" s="49"/>
      <c r="G74" s="49"/>
    </row>
    <row r="75" spans="1:10" ht="12.75">
      <c r="A75" t="s">
        <v>55</v>
      </c>
      <c r="F75" s="49">
        <f>IF('DIA + DLSA Revenue'!C12&gt;0,ROUND(('DIA + DLSA Revenue'!C12/F67),4),0)</f>
        <v>0</v>
      </c>
      <c r="G75" s="49"/>
      <c r="J75" s="51"/>
    </row>
    <row r="76" spans="6:7" ht="5.25" customHeight="1">
      <c r="F76" s="49"/>
      <c r="G76" s="16"/>
    </row>
    <row r="77" spans="1:10" ht="13.5" thickBot="1">
      <c r="A77" s="4" t="s">
        <v>59</v>
      </c>
      <c r="F77" s="54">
        <f>SUM(F69:F76)</f>
        <v>0.0104</v>
      </c>
      <c r="J77" s="51"/>
    </row>
    <row r="78" ht="13.5" thickTop="1"/>
  </sheetData>
  <sheetProtection/>
  <mergeCells count="2">
    <mergeCell ref="A1:F1"/>
    <mergeCell ref="A3:F3"/>
  </mergeCells>
  <printOptions/>
  <pageMargins left="0.25" right="0.25" top="0.5" bottom="0.5" header="0.3" footer="0.3"/>
  <pageSetup fitToHeight="0" fitToWidth="1" horizontalDpi="600" verticalDpi="600" orientation="landscape" scale="97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view="pageBreakPreview" zoomScale="85" zoomScaleNormal="85" zoomScaleSheetLayoutView="85" zoomScalePageLayoutView="0" workbookViewId="0" topLeftCell="A1">
      <selection activeCell="A1" sqref="A1:N1"/>
    </sheetView>
  </sheetViews>
  <sheetFormatPr defaultColWidth="9.140625" defaultRowHeight="12.75"/>
  <cols>
    <col min="1" max="1" width="20.28125" style="0" customWidth="1"/>
    <col min="2" max="2" width="20.421875" style="0" bestFit="1" customWidth="1"/>
    <col min="3" max="3" width="20.140625" style="0" customWidth="1"/>
    <col min="4" max="4" width="12.57421875" style="0" bestFit="1" customWidth="1"/>
    <col min="5" max="5" width="20.8515625" style="0" bestFit="1" customWidth="1"/>
    <col min="6" max="6" width="14.8515625" style="0" customWidth="1"/>
    <col min="7" max="7" width="14.8515625" style="0" bestFit="1" customWidth="1"/>
    <col min="8" max="8" width="18.28125" style="0" bestFit="1" customWidth="1"/>
    <col min="9" max="9" width="16.28125" style="0" bestFit="1" customWidth="1"/>
    <col min="10" max="10" width="19.8515625" style="0" bestFit="1" customWidth="1"/>
    <col min="11" max="11" width="17.7109375" style="0" bestFit="1" customWidth="1"/>
    <col min="12" max="12" width="11.57421875" style="0" bestFit="1" customWidth="1"/>
    <col min="13" max="13" width="16.28125" style="0" bestFit="1" customWidth="1"/>
    <col min="14" max="14" width="19.8515625" style="0" bestFit="1" customWidth="1"/>
    <col min="15" max="15" width="14.8515625" style="0" bestFit="1" customWidth="1"/>
    <col min="16" max="16" width="17.57421875" style="0" bestFit="1" customWidth="1"/>
    <col min="17" max="17" width="10.28125" style="0" customWidth="1"/>
    <col min="18" max="18" width="14.8515625" style="0" bestFit="1" customWidth="1"/>
    <col min="19" max="19" width="15.57421875" style="0" bestFit="1" customWidth="1"/>
    <col min="20" max="20" width="15.140625" style="0" bestFit="1" customWidth="1"/>
    <col min="21" max="21" width="17.7109375" style="0" bestFit="1" customWidth="1"/>
    <col min="22" max="22" width="14.140625" style="0" bestFit="1" customWidth="1"/>
    <col min="23" max="23" width="14.421875" style="0" bestFit="1" customWidth="1"/>
    <col min="24" max="25" width="14.8515625" style="0" bestFit="1" customWidth="1"/>
    <col min="26" max="26" width="14.00390625" style="0" bestFit="1" customWidth="1"/>
    <col min="27" max="27" width="15.140625" style="0" bestFit="1" customWidth="1"/>
    <col min="29" max="29" width="10.8515625" style="0" bestFit="1" customWidth="1"/>
  </cols>
  <sheetData>
    <row r="1" spans="1:14" ht="21" thickBot="1">
      <c r="A1" s="182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29" ht="15.75">
      <c r="A2" s="183" t="s">
        <v>61</v>
      </c>
      <c r="B2" s="184"/>
      <c r="C2" s="184"/>
      <c r="D2" s="185"/>
      <c r="E2" s="186" t="s">
        <v>62</v>
      </c>
      <c r="F2" s="187"/>
      <c r="G2" s="187"/>
      <c r="H2" s="187"/>
      <c r="I2" s="187"/>
      <c r="J2" s="188"/>
      <c r="K2" s="184" t="s">
        <v>63</v>
      </c>
      <c r="L2" s="184"/>
      <c r="M2" s="184"/>
      <c r="N2" s="189" t="s">
        <v>64</v>
      </c>
      <c r="O2" s="190"/>
      <c r="P2" s="186" t="s">
        <v>65</v>
      </c>
      <c r="Q2" s="187"/>
      <c r="R2" s="187"/>
      <c r="S2" s="187"/>
      <c r="T2" s="187"/>
      <c r="U2" s="188"/>
      <c r="V2" s="62"/>
      <c r="W2" s="62"/>
      <c r="X2" s="62"/>
      <c r="Y2" s="62"/>
      <c r="Z2" s="62"/>
      <c r="AA2" s="62"/>
      <c r="AB2" s="62"/>
      <c r="AC2" s="62"/>
    </row>
    <row r="3" spans="1:29" ht="77.25" thickBot="1">
      <c r="A3" s="63" t="s">
        <v>66</v>
      </c>
      <c r="B3" s="64" t="s">
        <v>67</v>
      </c>
      <c r="C3" s="65" t="s">
        <v>16</v>
      </c>
      <c r="D3" s="66" t="s">
        <v>68</v>
      </c>
      <c r="E3" s="67" t="s">
        <v>69</v>
      </c>
      <c r="F3" s="68" t="s">
        <v>70</v>
      </c>
      <c r="G3" s="69" t="s">
        <v>16</v>
      </c>
      <c r="H3" s="69" t="s">
        <v>71</v>
      </c>
      <c r="I3" s="68" t="s">
        <v>72</v>
      </c>
      <c r="J3" s="70" t="s">
        <v>64</v>
      </c>
      <c r="K3" s="71" t="s">
        <v>73</v>
      </c>
      <c r="L3" s="68" t="s">
        <v>74</v>
      </c>
      <c r="M3" s="72" t="s">
        <v>67</v>
      </c>
      <c r="N3" s="73" t="s">
        <v>75</v>
      </c>
      <c r="O3" s="74" t="s">
        <v>16</v>
      </c>
      <c r="P3" s="67" t="s">
        <v>69</v>
      </c>
      <c r="Q3" s="68" t="s">
        <v>70</v>
      </c>
      <c r="R3" s="69" t="s">
        <v>16</v>
      </c>
      <c r="S3" s="69" t="s">
        <v>71</v>
      </c>
      <c r="T3" s="68" t="s">
        <v>72</v>
      </c>
      <c r="U3" s="70" t="s">
        <v>64</v>
      </c>
      <c r="V3" s="75" t="s">
        <v>76</v>
      </c>
      <c r="W3" s="75" t="s">
        <v>77</v>
      </c>
      <c r="X3" s="76" t="s">
        <v>78</v>
      </c>
      <c r="Y3" s="76" t="s">
        <v>79</v>
      </c>
      <c r="Z3" s="76" t="s">
        <v>48</v>
      </c>
      <c r="AA3" s="76" t="s">
        <v>80</v>
      </c>
      <c r="AB3" s="4"/>
      <c r="AC3" s="4"/>
    </row>
    <row r="4" spans="1:29" ht="13.5" thickBot="1">
      <c r="A4" s="77" t="s">
        <v>81</v>
      </c>
      <c r="B4" s="78">
        <v>3223479.27</v>
      </c>
      <c r="C4" s="79">
        <v>321984.48000000004</v>
      </c>
      <c r="D4" s="80">
        <v>1866</v>
      </c>
      <c r="E4" s="81">
        <v>3093688.6115</v>
      </c>
      <c r="F4" s="82">
        <v>11774</v>
      </c>
      <c r="G4" s="82">
        <v>925452.2952440997</v>
      </c>
      <c r="H4" s="78">
        <v>448287.6059900001</v>
      </c>
      <c r="I4" s="78">
        <v>115124.44196</v>
      </c>
      <c r="J4" s="83">
        <v>3657100.65945</v>
      </c>
      <c r="K4" s="84">
        <v>142</v>
      </c>
      <c r="L4" s="82">
        <v>11308</v>
      </c>
      <c r="M4" s="83">
        <v>35760.53</v>
      </c>
      <c r="N4" s="81">
        <v>7085037.1501</v>
      </c>
      <c r="O4" s="80">
        <v>1291367.6216256716</v>
      </c>
      <c r="P4" s="81">
        <v>135235.9076</v>
      </c>
      <c r="Q4" s="85">
        <v>450</v>
      </c>
      <c r="R4" s="85">
        <v>46553.62022749123</v>
      </c>
      <c r="S4" s="81">
        <v>37208.06401000001</v>
      </c>
      <c r="T4" s="81">
        <v>9558.169039999999</v>
      </c>
      <c r="U4" s="83">
        <v>182002.14065000002</v>
      </c>
      <c r="V4" s="86"/>
      <c r="W4" s="86"/>
      <c r="X4" s="86"/>
      <c r="Y4" s="86"/>
      <c r="Z4" s="86"/>
      <c r="AA4" s="86"/>
      <c r="AC4" s="10"/>
    </row>
    <row r="5" spans="1:29" ht="12.75">
      <c r="A5" s="87">
        <v>43101</v>
      </c>
      <c r="B5" s="88">
        <v>14506.97</v>
      </c>
      <c r="C5" s="89">
        <v>1264.5</v>
      </c>
      <c r="D5" s="90">
        <v>5</v>
      </c>
      <c r="E5" s="88">
        <v>32652.25</v>
      </c>
      <c r="F5" s="91">
        <v>122</v>
      </c>
      <c r="G5" s="91">
        <v>9299.473578060197</v>
      </c>
      <c r="H5" s="92">
        <v>323.33</v>
      </c>
      <c r="I5" s="93">
        <v>0</v>
      </c>
      <c r="J5" s="94">
        <v>32975.58</v>
      </c>
      <c r="K5" s="95">
        <v>0</v>
      </c>
      <c r="L5" s="91">
        <v>0</v>
      </c>
      <c r="M5" s="94">
        <v>0</v>
      </c>
      <c r="N5" s="88">
        <v>46261.780000000006</v>
      </c>
      <c r="O5" s="90">
        <v>10563.973578060197</v>
      </c>
      <c r="P5" s="88">
        <v>0</v>
      </c>
      <c r="Q5" s="91">
        <v>0</v>
      </c>
      <c r="R5" s="91">
        <v>0</v>
      </c>
      <c r="S5" s="92">
        <v>-1220.77</v>
      </c>
      <c r="T5" s="92">
        <v>0</v>
      </c>
      <c r="U5" s="94">
        <v>-1220.77</v>
      </c>
      <c r="V5" s="86">
        <f>C5+G5</f>
        <v>10563.973578060197</v>
      </c>
      <c r="W5" s="86">
        <f aca="true" t="shared" si="0" ref="W5:W16">R5</f>
        <v>0</v>
      </c>
      <c r="X5" s="86">
        <f aca="true" t="shared" si="1" ref="X5:X16">N5-U5-M5</f>
        <v>47482.55</v>
      </c>
      <c r="Y5" s="86">
        <v>198649.38744000002</v>
      </c>
      <c r="Z5" s="86">
        <f aca="true" t="shared" si="2" ref="Z5:Z16">X5-Y5</f>
        <v>-151166.83744000003</v>
      </c>
      <c r="AA5" s="86">
        <f aca="true" t="shared" si="3" ref="AA5:AA16">U5</f>
        <v>-1220.77</v>
      </c>
      <c r="AC5" s="10"/>
    </row>
    <row r="6" spans="1:29" ht="12.75">
      <c r="A6" s="96">
        <v>43132</v>
      </c>
      <c r="B6" s="97">
        <v>5816.59</v>
      </c>
      <c r="C6" s="98">
        <v>505.79999999999995</v>
      </c>
      <c r="D6" s="99">
        <v>2</v>
      </c>
      <c r="E6" s="100">
        <v>42379.25</v>
      </c>
      <c r="F6" s="101">
        <v>173</v>
      </c>
      <c r="G6" s="101">
        <v>12931.82516830691</v>
      </c>
      <c r="H6" s="97">
        <v>3694.1</v>
      </c>
      <c r="I6" s="102">
        <v>5540.38415</v>
      </c>
      <c r="J6" s="103">
        <v>51613.73415</v>
      </c>
      <c r="K6" s="104">
        <v>0</v>
      </c>
      <c r="L6" s="101">
        <v>0</v>
      </c>
      <c r="M6" s="105">
        <v>0</v>
      </c>
      <c r="N6" s="100">
        <v>58444.99</v>
      </c>
      <c r="O6" s="99">
        <v>13437.62516830691</v>
      </c>
      <c r="P6" s="100">
        <v>0</v>
      </c>
      <c r="Q6" s="101">
        <v>0</v>
      </c>
      <c r="R6" s="101">
        <v>0</v>
      </c>
      <c r="S6" s="97">
        <v>405.90000000000003</v>
      </c>
      <c r="T6" s="97">
        <v>608.76585</v>
      </c>
      <c r="U6" s="103">
        <v>1014.6658500000001</v>
      </c>
      <c r="V6" s="86">
        <f aca="true" t="shared" si="4" ref="V6:V16">C6+G6</f>
        <v>13437.62516830691</v>
      </c>
      <c r="W6" s="86">
        <f t="shared" si="0"/>
        <v>0</v>
      </c>
      <c r="X6" s="86">
        <f t="shared" si="1"/>
        <v>57430.32415</v>
      </c>
      <c r="Y6" s="86">
        <v>41801.8626</v>
      </c>
      <c r="Z6" s="86">
        <f t="shared" si="2"/>
        <v>15628.46155</v>
      </c>
      <c r="AA6" s="86">
        <f t="shared" si="3"/>
        <v>1014.6658500000001</v>
      </c>
      <c r="AC6" s="10"/>
    </row>
    <row r="7" spans="1:29" ht="12.75">
      <c r="A7" s="106">
        <v>43160</v>
      </c>
      <c r="B7" s="97">
        <v>23765.16</v>
      </c>
      <c r="C7" s="98">
        <v>2023.1999999999998</v>
      </c>
      <c r="D7" s="99">
        <v>8</v>
      </c>
      <c r="E7" s="100">
        <v>44023.25</v>
      </c>
      <c r="F7" s="101">
        <v>170</v>
      </c>
      <c r="G7" s="101">
        <v>12285.526499726828</v>
      </c>
      <c r="H7" s="97">
        <v>0</v>
      </c>
      <c r="I7" s="102">
        <v>0</v>
      </c>
      <c r="J7" s="103">
        <v>44023.25</v>
      </c>
      <c r="K7" s="104">
        <v>0</v>
      </c>
      <c r="L7" s="101">
        <v>0</v>
      </c>
      <c r="M7" s="105">
        <v>0</v>
      </c>
      <c r="N7" s="100">
        <v>67788.41</v>
      </c>
      <c r="O7" s="99">
        <v>14308.726499726828</v>
      </c>
      <c r="P7" s="100">
        <v>0</v>
      </c>
      <c r="Q7" s="101">
        <v>0</v>
      </c>
      <c r="R7" s="101">
        <v>0</v>
      </c>
      <c r="S7" s="97">
        <v>0</v>
      </c>
      <c r="T7" s="97">
        <v>0</v>
      </c>
      <c r="U7" s="103">
        <v>0</v>
      </c>
      <c r="V7" s="86">
        <f t="shared" si="4"/>
        <v>14308.726499726828</v>
      </c>
      <c r="W7" s="86">
        <f t="shared" si="0"/>
        <v>0</v>
      </c>
      <c r="X7" s="86">
        <f t="shared" si="1"/>
        <v>67788.41</v>
      </c>
      <c r="Y7" s="86">
        <v>52364.36915</v>
      </c>
      <c r="Z7" s="86">
        <f t="shared" si="2"/>
        <v>15424.040850000005</v>
      </c>
      <c r="AA7" s="86">
        <f t="shared" si="3"/>
        <v>0</v>
      </c>
      <c r="AC7" s="10"/>
    </row>
    <row r="8" spans="1:29" ht="12.75">
      <c r="A8" s="106">
        <v>43191</v>
      </c>
      <c r="B8" s="97">
        <v>2967.69</v>
      </c>
      <c r="C8" s="98">
        <v>252.89999999999998</v>
      </c>
      <c r="D8" s="99">
        <v>1</v>
      </c>
      <c r="E8" s="100">
        <v>91338</v>
      </c>
      <c r="F8" s="101">
        <v>375</v>
      </c>
      <c r="G8" s="101">
        <v>24893.360423644022</v>
      </c>
      <c r="H8" s="97">
        <v>5322.405220000001</v>
      </c>
      <c r="I8" s="102">
        <v>0</v>
      </c>
      <c r="J8" s="103">
        <v>96660.40522</v>
      </c>
      <c r="K8" s="104">
        <v>0</v>
      </c>
      <c r="L8" s="104">
        <v>0</v>
      </c>
      <c r="M8" s="103">
        <v>0</v>
      </c>
      <c r="N8" s="100">
        <v>100212.91</v>
      </c>
      <c r="O8" s="99">
        <v>25146.260423644024</v>
      </c>
      <c r="P8" s="100">
        <v>0</v>
      </c>
      <c r="Q8" s="101">
        <v>0</v>
      </c>
      <c r="R8" s="101">
        <v>0</v>
      </c>
      <c r="S8" s="97">
        <v>584.81478</v>
      </c>
      <c r="T8" s="97">
        <v>0</v>
      </c>
      <c r="U8" s="103">
        <v>584.81478</v>
      </c>
      <c r="V8" s="86">
        <f t="shared" si="4"/>
        <v>25146.260423644024</v>
      </c>
      <c r="W8" s="86">
        <f t="shared" si="0"/>
        <v>0</v>
      </c>
      <c r="X8" s="86">
        <f t="shared" si="1"/>
        <v>99628.09522</v>
      </c>
      <c r="Y8" s="86">
        <v>46396.1948</v>
      </c>
      <c r="Z8" s="86">
        <f t="shared" si="2"/>
        <v>53231.900420000005</v>
      </c>
      <c r="AA8" s="86">
        <f t="shared" si="3"/>
        <v>584.81478</v>
      </c>
      <c r="AC8" s="10"/>
    </row>
    <row r="9" spans="1:29" ht="12.75">
      <c r="A9" s="106">
        <v>43221</v>
      </c>
      <c r="B9" s="97">
        <v>5928.14</v>
      </c>
      <c r="C9" s="98">
        <v>505.79999999999995</v>
      </c>
      <c r="D9" s="99">
        <v>2</v>
      </c>
      <c r="E9" s="100">
        <v>101829.25</v>
      </c>
      <c r="F9" s="101">
        <v>390</v>
      </c>
      <c r="G9" s="101">
        <v>29427.542923408968</v>
      </c>
      <c r="H9" s="97">
        <v>901</v>
      </c>
      <c r="I9" s="102">
        <v>5405.61257</v>
      </c>
      <c r="J9" s="103">
        <v>108135.86257</v>
      </c>
      <c r="K9" s="104">
        <v>0</v>
      </c>
      <c r="L9" s="101">
        <v>0</v>
      </c>
      <c r="M9" s="103">
        <v>0</v>
      </c>
      <c r="N9" s="100">
        <v>115269.45999999999</v>
      </c>
      <c r="O9" s="99">
        <v>30426.025850238235</v>
      </c>
      <c r="P9" s="100">
        <v>512.5</v>
      </c>
      <c r="Q9" s="101">
        <v>1</v>
      </c>
      <c r="R9" s="101">
        <v>492.68292682926835</v>
      </c>
      <c r="S9" s="97">
        <v>99</v>
      </c>
      <c r="T9" s="97">
        <v>593.95743</v>
      </c>
      <c r="U9" s="103">
        <v>1205.45743</v>
      </c>
      <c r="V9" s="86">
        <f t="shared" si="4"/>
        <v>29933.342923408967</v>
      </c>
      <c r="W9" s="86">
        <f t="shared" si="0"/>
        <v>492.68292682926835</v>
      </c>
      <c r="X9" s="86">
        <f t="shared" si="1"/>
        <v>114064.00257</v>
      </c>
      <c r="Y9" s="86">
        <v>60263.068250000004</v>
      </c>
      <c r="Z9" s="86">
        <f t="shared" si="2"/>
        <v>53800.93431999999</v>
      </c>
      <c r="AA9" s="86">
        <f t="shared" si="3"/>
        <v>1205.45743</v>
      </c>
      <c r="AC9" s="10"/>
    </row>
    <row r="10" spans="1:29" ht="12.75">
      <c r="A10" s="106">
        <v>43252</v>
      </c>
      <c r="B10" s="97">
        <v>14672.94</v>
      </c>
      <c r="C10" s="98">
        <v>1264.5</v>
      </c>
      <c r="D10" s="99">
        <v>5</v>
      </c>
      <c r="E10" s="100">
        <v>47907</v>
      </c>
      <c r="F10" s="101">
        <v>166</v>
      </c>
      <c r="G10" s="101">
        <v>12916.252708067732</v>
      </c>
      <c r="H10" s="97">
        <v>946.0500000000001</v>
      </c>
      <c r="I10" s="102">
        <v>0</v>
      </c>
      <c r="J10" s="103">
        <v>48853.05</v>
      </c>
      <c r="K10" s="104">
        <v>0</v>
      </c>
      <c r="L10" s="101">
        <v>0</v>
      </c>
      <c r="M10" s="103">
        <v>0</v>
      </c>
      <c r="N10" s="100">
        <v>64654.94</v>
      </c>
      <c r="O10" s="99">
        <v>15166.118561726269</v>
      </c>
      <c r="P10" s="100">
        <v>1025</v>
      </c>
      <c r="Q10" s="101">
        <v>2</v>
      </c>
      <c r="R10" s="101">
        <v>985.3658536585367</v>
      </c>
      <c r="S10" s="97">
        <v>103.95</v>
      </c>
      <c r="T10" s="97">
        <v>0</v>
      </c>
      <c r="U10" s="103">
        <v>1128.95</v>
      </c>
      <c r="V10" s="86">
        <f t="shared" si="4"/>
        <v>14180.752708067732</v>
      </c>
      <c r="W10" s="86">
        <f t="shared" si="0"/>
        <v>985.3658536585367</v>
      </c>
      <c r="X10" s="86">
        <f t="shared" si="1"/>
        <v>63525.990000000005</v>
      </c>
      <c r="Y10" s="86">
        <v>47181.469769999996</v>
      </c>
      <c r="Z10" s="86">
        <f t="shared" si="2"/>
        <v>16344.52023000001</v>
      </c>
      <c r="AA10" s="86">
        <f t="shared" si="3"/>
        <v>1128.95</v>
      </c>
      <c r="AC10" s="10"/>
    </row>
    <row r="11" spans="1:29" ht="12.75">
      <c r="A11" s="106">
        <v>43282</v>
      </c>
      <c r="B11" s="97">
        <v>11458.52</v>
      </c>
      <c r="C11" s="98">
        <v>1011.5999999999999</v>
      </c>
      <c r="D11" s="99">
        <v>4</v>
      </c>
      <c r="E11" s="100">
        <v>35128.75</v>
      </c>
      <c r="F11" s="101">
        <v>122</v>
      </c>
      <c r="G11" s="101">
        <v>10206.200793186743</v>
      </c>
      <c r="H11" s="97">
        <v>0</v>
      </c>
      <c r="I11" s="102">
        <v>0</v>
      </c>
      <c r="J11" s="103">
        <v>35128.75</v>
      </c>
      <c r="K11" s="104">
        <v>0</v>
      </c>
      <c r="L11" s="101">
        <v>0</v>
      </c>
      <c r="M11" s="103">
        <v>0</v>
      </c>
      <c r="N11" s="100">
        <v>46587.270000000004</v>
      </c>
      <c r="O11" s="99">
        <v>11217.800793186743</v>
      </c>
      <c r="P11" s="100">
        <v>0</v>
      </c>
      <c r="Q11" s="101">
        <v>0</v>
      </c>
      <c r="R11" s="101">
        <v>0</v>
      </c>
      <c r="S11" s="97">
        <v>0</v>
      </c>
      <c r="T11" s="97">
        <v>0</v>
      </c>
      <c r="U11" s="103">
        <v>0</v>
      </c>
      <c r="V11" s="86">
        <f t="shared" si="4"/>
        <v>11217.800793186743</v>
      </c>
      <c r="W11" s="86">
        <f t="shared" si="0"/>
        <v>0</v>
      </c>
      <c r="X11" s="86">
        <f t="shared" si="1"/>
        <v>46587.270000000004</v>
      </c>
      <c r="Y11" s="86">
        <v>32445.78</v>
      </c>
      <c r="Z11" s="86">
        <f t="shared" si="2"/>
        <v>14141.490000000005</v>
      </c>
      <c r="AA11" s="86">
        <f t="shared" si="3"/>
        <v>0</v>
      </c>
      <c r="AC11" s="10"/>
    </row>
    <row r="12" spans="1:29" ht="12.75">
      <c r="A12" s="106">
        <v>43313</v>
      </c>
      <c r="B12" s="97">
        <v>11597.93</v>
      </c>
      <c r="C12" s="98">
        <v>1011.5999999999999</v>
      </c>
      <c r="D12" s="99">
        <v>4</v>
      </c>
      <c r="E12" s="100">
        <v>77018.25</v>
      </c>
      <c r="F12" s="101">
        <v>260</v>
      </c>
      <c r="G12" s="101">
        <v>18030.988408373938</v>
      </c>
      <c r="H12" s="97">
        <v>218.26725000000002</v>
      </c>
      <c r="I12" s="102">
        <v>3485.9780100000003</v>
      </c>
      <c r="J12" s="103">
        <v>80722.49526000001</v>
      </c>
      <c r="K12" s="104">
        <v>0</v>
      </c>
      <c r="L12" s="101">
        <v>0</v>
      </c>
      <c r="M12" s="103">
        <v>0</v>
      </c>
      <c r="N12" s="100">
        <v>92727.44000000002</v>
      </c>
      <c r="O12" s="99">
        <v>19042.588408373937</v>
      </c>
      <c r="P12" s="100">
        <v>0</v>
      </c>
      <c r="Q12" s="101">
        <v>0</v>
      </c>
      <c r="R12" s="101">
        <v>0</v>
      </c>
      <c r="S12" s="97">
        <v>23.982750000000003</v>
      </c>
      <c r="T12" s="97">
        <v>383.03199000000006</v>
      </c>
      <c r="U12" s="103">
        <v>407.0147400000001</v>
      </c>
      <c r="V12" s="86">
        <f t="shared" si="4"/>
        <v>19042.588408373937</v>
      </c>
      <c r="W12" s="86">
        <f t="shared" si="0"/>
        <v>0</v>
      </c>
      <c r="X12" s="86">
        <f t="shared" si="1"/>
        <v>92320.42526000002</v>
      </c>
      <c r="Y12" s="86">
        <v>61409.95305000001</v>
      </c>
      <c r="Z12" s="86">
        <f t="shared" si="2"/>
        <v>30910.472210000007</v>
      </c>
      <c r="AA12" s="86">
        <f t="shared" si="3"/>
        <v>407.0147400000001</v>
      </c>
      <c r="AC12" s="10"/>
    </row>
    <row r="13" spans="1:29" ht="12.75">
      <c r="A13" s="106">
        <v>43344</v>
      </c>
      <c r="B13" s="97">
        <v>8558.38</v>
      </c>
      <c r="C13" s="98">
        <v>758.6999999999999</v>
      </c>
      <c r="D13" s="99">
        <v>3</v>
      </c>
      <c r="E13" s="100">
        <v>0</v>
      </c>
      <c r="F13" s="101">
        <v>0</v>
      </c>
      <c r="G13" s="101">
        <v>0</v>
      </c>
      <c r="H13" s="97">
        <v>0</v>
      </c>
      <c r="I13" s="102">
        <v>0</v>
      </c>
      <c r="J13" s="103">
        <v>0</v>
      </c>
      <c r="K13" s="104">
        <v>0</v>
      </c>
      <c r="L13" s="101">
        <v>0</v>
      </c>
      <c r="M13" s="103">
        <v>0</v>
      </c>
      <c r="N13" s="100">
        <v>8558.38</v>
      </c>
      <c r="O13" s="99">
        <v>758.6999999999999</v>
      </c>
      <c r="P13" s="100">
        <v>0</v>
      </c>
      <c r="Q13" s="101">
        <v>0</v>
      </c>
      <c r="R13" s="101">
        <v>0</v>
      </c>
      <c r="S13" s="97">
        <v>0</v>
      </c>
      <c r="T13" s="97">
        <v>0</v>
      </c>
      <c r="U13" s="103">
        <v>0</v>
      </c>
      <c r="V13" s="86">
        <f t="shared" si="4"/>
        <v>758.6999999999999</v>
      </c>
      <c r="W13" s="86">
        <f t="shared" si="0"/>
        <v>0</v>
      </c>
      <c r="X13" s="86">
        <f t="shared" si="1"/>
        <v>8558.38</v>
      </c>
      <c r="Y13" s="86">
        <f>N13-U13</f>
        <v>8558.38</v>
      </c>
      <c r="Z13" s="86">
        <f t="shared" si="2"/>
        <v>0</v>
      </c>
      <c r="AA13" s="86">
        <f t="shared" si="3"/>
        <v>0</v>
      </c>
      <c r="AC13" s="10"/>
    </row>
    <row r="14" spans="1:29" ht="12.75">
      <c r="A14" s="106">
        <v>43374</v>
      </c>
      <c r="B14" s="97">
        <v>10545.18</v>
      </c>
      <c r="C14" s="98">
        <v>1011.5999999999999</v>
      </c>
      <c r="D14" s="99">
        <v>4</v>
      </c>
      <c r="E14" s="100">
        <v>0</v>
      </c>
      <c r="F14" s="101">
        <v>0</v>
      </c>
      <c r="G14" s="101">
        <v>0</v>
      </c>
      <c r="H14" s="97">
        <v>0</v>
      </c>
      <c r="I14" s="102">
        <v>0</v>
      </c>
      <c r="J14" s="103">
        <v>0</v>
      </c>
      <c r="K14" s="104">
        <v>0</v>
      </c>
      <c r="L14" s="101">
        <v>0</v>
      </c>
      <c r="M14" s="107">
        <v>0</v>
      </c>
      <c r="N14" s="100">
        <v>10545.18</v>
      </c>
      <c r="O14" s="99">
        <v>1011.5999999999999</v>
      </c>
      <c r="P14" s="100">
        <v>0</v>
      </c>
      <c r="Q14" s="101">
        <v>0</v>
      </c>
      <c r="R14" s="101">
        <v>0</v>
      </c>
      <c r="S14" s="97">
        <v>0</v>
      </c>
      <c r="T14" s="97">
        <v>0</v>
      </c>
      <c r="U14" s="103">
        <v>0</v>
      </c>
      <c r="V14" s="86">
        <f t="shared" si="4"/>
        <v>1011.5999999999999</v>
      </c>
      <c r="W14" s="86">
        <f t="shared" si="0"/>
        <v>0</v>
      </c>
      <c r="X14" s="86">
        <f t="shared" si="1"/>
        <v>10545.18</v>
      </c>
      <c r="Y14" s="86">
        <f>N14-U14</f>
        <v>10545.18</v>
      </c>
      <c r="Z14" s="86">
        <f t="shared" si="2"/>
        <v>0</v>
      </c>
      <c r="AA14" s="86">
        <f t="shared" si="3"/>
        <v>0</v>
      </c>
      <c r="AC14" s="10"/>
    </row>
    <row r="15" spans="1:29" ht="12.75">
      <c r="A15" s="106">
        <v>43405</v>
      </c>
      <c r="B15" s="97">
        <v>5758.02</v>
      </c>
      <c r="C15" s="98">
        <v>505.79999999999995</v>
      </c>
      <c r="D15" s="99">
        <v>2</v>
      </c>
      <c r="E15" s="100">
        <v>0</v>
      </c>
      <c r="F15" s="101">
        <v>0</v>
      </c>
      <c r="G15" s="101">
        <v>0</v>
      </c>
      <c r="H15" s="97">
        <v>0</v>
      </c>
      <c r="I15" s="102">
        <v>0</v>
      </c>
      <c r="J15" s="103">
        <v>0</v>
      </c>
      <c r="K15" s="104">
        <v>0</v>
      </c>
      <c r="L15" s="101">
        <v>0</v>
      </c>
      <c r="M15" s="103">
        <v>0</v>
      </c>
      <c r="N15" s="100">
        <v>5758.02</v>
      </c>
      <c r="O15" s="99">
        <v>505.79999999999995</v>
      </c>
      <c r="P15" s="100">
        <v>0</v>
      </c>
      <c r="Q15" s="101">
        <v>0</v>
      </c>
      <c r="R15" s="101">
        <v>0</v>
      </c>
      <c r="S15" s="97">
        <v>0</v>
      </c>
      <c r="T15" s="97">
        <v>0</v>
      </c>
      <c r="U15" s="103">
        <v>0</v>
      </c>
      <c r="V15" s="86">
        <f t="shared" si="4"/>
        <v>505.79999999999995</v>
      </c>
      <c r="W15" s="86">
        <f t="shared" si="0"/>
        <v>0</v>
      </c>
      <c r="X15" s="86">
        <f t="shared" si="1"/>
        <v>5758.02</v>
      </c>
      <c r="Y15" s="86">
        <f>N15-U15</f>
        <v>5758.02</v>
      </c>
      <c r="Z15" s="86">
        <f t="shared" si="2"/>
        <v>0</v>
      </c>
      <c r="AA15" s="86">
        <f t="shared" si="3"/>
        <v>0</v>
      </c>
      <c r="AC15" s="10"/>
    </row>
    <row r="16" spans="1:29" ht="13.5" thickBot="1">
      <c r="A16" s="108">
        <v>43435</v>
      </c>
      <c r="B16" s="109">
        <v>11351.58</v>
      </c>
      <c r="C16" s="110">
        <v>1011.5999999999999</v>
      </c>
      <c r="D16" s="111">
        <v>4</v>
      </c>
      <c r="E16" s="112">
        <v>0</v>
      </c>
      <c r="F16" s="113">
        <v>0</v>
      </c>
      <c r="G16" s="113">
        <v>0</v>
      </c>
      <c r="H16" s="109">
        <v>0</v>
      </c>
      <c r="I16" s="109">
        <v>0</v>
      </c>
      <c r="J16" s="114">
        <v>0</v>
      </c>
      <c r="K16" s="115">
        <v>0</v>
      </c>
      <c r="L16" s="113">
        <v>0</v>
      </c>
      <c r="M16" s="114">
        <v>0</v>
      </c>
      <c r="N16" s="116">
        <v>11351.58</v>
      </c>
      <c r="O16" s="111">
        <v>1011.5999999999999</v>
      </c>
      <c r="P16" s="112">
        <v>0</v>
      </c>
      <c r="Q16" s="113">
        <v>0</v>
      </c>
      <c r="R16" s="113">
        <v>0</v>
      </c>
      <c r="S16" s="109">
        <v>0</v>
      </c>
      <c r="T16" s="109">
        <v>0</v>
      </c>
      <c r="U16" s="114">
        <v>0</v>
      </c>
      <c r="V16" s="86">
        <f t="shared" si="4"/>
        <v>1011.5999999999999</v>
      </c>
      <c r="W16" s="86">
        <f t="shared" si="0"/>
        <v>0</v>
      </c>
      <c r="X16" s="86">
        <f t="shared" si="1"/>
        <v>11351.58</v>
      </c>
      <c r="Y16" s="86">
        <f>N16-U16</f>
        <v>11351.58</v>
      </c>
      <c r="Z16" s="86">
        <f t="shared" si="2"/>
        <v>0</v>
      </c>
      <c r="AA16" s="86">
        <f t="shared" si="3"/>
        <v>0</v>
      </c>
      <c r="AC16" s="10"/>
    </row>
    <row r="17" spans="1:27" ht="13.5" thickTop="1">
      <c r="A17" s="117" t="s">
        <v>82</v>
      </c>
      <c r="B17" s="118">
        <f aca="true" t="shared" si="5" ref="B17:U17">SUM(B5:B16)</f>
        <v>126927.1</v>
      </c>
      <c r="C17" s="119">
        <f t="shared" si="5"/>
        <v>11127.6</v>
      </c>
      <c r="D17" s="120">
        <f t="shared" si="5"/>
        <v>44</v>
      </c>
      <c r="E17" s="121">
        <f t="shared" si="5"/>
        <v>472276</v>
      </c>
      <c r="F17" s="122">
        <f t="shared" si="5"/>
        <v>1778</v>
      </c>
      <c r="G17" s="122">
        <f t="shared" si="5"/>
        <v>129991.17050277535</v>
      </c>
      <c r="H17" s="118">
        <f t="shared" si="5"/>
        <v>11405.15247</v>
      </c>
      <c r="I17" s="118">
        <f t="shared" si="5"/>
        <v>14431.97473</v>
      </c>
      <c r="J17" s="123">
        <f t="shared" si="5"/>
        <v>498113.1272</v>
      </c>
      <c r="K17" s="124">
        <f t="shared" si="5"/>
        <v>0</v>
      </c>
      <c r="L17" s="122">
        <f t="shared" si="5"/>
        <v>0</v>
      </c>
      <c r="M17" s="123">
        <f t="shared" si="5"/>
        <v>0</v>
      </c>
      <c r="N17" s="121">
        <f t="shared" si="5"/>
        <v>628160.36</v>
      </c>
      <c r="O17" s="120">
        <f t="shared" si="5"/>
        <v>142596.81928326318</v>
      </c>
      <c r="P17" s="121">
        <f t="shared" si="5"/>
        <v>1537.5</v>
      </c>
      <c r="Q17" s="122">
        <f t="shared" si="5"/>
        <v>3</v>
      </c>
      <c r="R17" s="122">
        <f t="shared" si="5"/>
        <v>1478.048780487805</v>
      </c>
      <c r="S17" s="118">
        <f t="shared" si="5"/>
        <v>-3.1224699999998435</v>
      </c>
      <c r="T17" s="118">
        <f t="shared" si="5"/>
        <v>1585.75527</v>
      </c>
      <c r="U17" s="125">
        <f t="shared" si="5"/>
        <v>3120.1328</v>
      </c>
      <c r="V17" s="86"/>
      <c r="W17" s="86"/>
      <c r="X17" s="86"/>
      <c r="Y17" s="86"/>
      <c r="Z17" s="86"/>
      <c r="AA17" s="86"/>
    </row>
    <row r="18" spans="1:27" ht="13.5" thickBot="1">
      <c r="A18" s="77" t="s">
        <v>81</v>
      </c>
      <c r="B18" s="78">
        <f>B17+B4</f>
        <v>3350406.37</v>
      </c>
      <c r="C18" s="79">
        <f aca="true" t="shared" si="6" ref="C18:U18">C17+C4</f>
        <v>333112.08</v>
      </c>
      <c r="D18" s="80">
        <f t="shared" si="6"/>
        <v>1910</v>
      </c>
      <c r="E18" s="81">
        <f t="shared" si="6"/>
        <v>3565964.6115</v>
      </c>
      <c r="F18" s="82">
        <f t="shared" si="6"/>
        <v>13552</v>
      </c>
      <c r="G18" s="82">
        <f t="shared" si="6"/>
        <v>1055443.465746875</v>
      </c>
      <c r="H18" s="78">
        <f t="shared" si="6"/>
        <v>459692.75846000016</v>
      </c>
      <c r="I18" s="78">
        <f t="shared" si="6"/>
        <v>129556.41669</v>
      </c>
      <c r="J18" s="83">
        <f t="shared" si="6"/>
        <v>4155213.78665</v>
      </c>
      <c r="K18" s="84">
        <f t="shared" si="6"/>
        <v>142</v>
      </c>
      <c r="L18" s="82">
        <f t="shared" si="6"/>
        <v>11308</v>
      </c>
      <c r="M18" s="83">
        <f t="shared" si="6"/>
        <v>35760.53</v>
      </c>
      <c r="N18" s="81">
        <f t="shared" si="6"/>
        <v>7713197.510100001</v>
      </c>
      <c r="O18" s="80">
        <f t="shared" si="6"/>
        <v>1433964.440908935</v>
      </c>
      <c r="P18" s="81">
        <f t="shared" si="6"/>
        <v>136773.4076</v>
      </c>
      <c r="Q18" s="85">
        <f t="shared" si="6"/>
        <v>453</v>
      </c>
      <c r="R18" s="85">
        <f t="shared" si="6"/>
        <v>48031.669007979035</v>
      </c>
      <c r="S18" s="81">
        <f t="shared" si="6"/>
        <v>37204.94154000001</v>
      </c>
      <c r="T18" s="81">
        <f t="shared" si="6"/>
        <v>11143.924309999999</v>
      </c>
      <c r="U18" s="83">
        <f t="shared" si="6"/>
        <v>185122.27345</v>
      </c>
      <c r="V18" s="86"/>
      <c r="W18" s="86"/>
      <c r="X18" s="86"/>
      <c r="Y18" s="86"/>
      <c r="Z18" s="86"/>
      <c r="AA18" s="86"/>
    </row>
    <row r="19" spans="1:27" ht="12.75">
      <c r="A19" s="87">
        <v>43466</v>
      </c>
      <c r="B19" s="88">
        <v>17673.059999999998</v>
      </c>
      <c r="C19" s="89">
        <v>1517.3999999999999</v>
      </c>
      <c r="D19" s="90">
        <v>6</v>
      </c>
      <c r="E19" s="88">
        <v>0</v>
      </c>
      <c r="F19" s="91">
        <v>0</v>
      </c>
      <c r="G19" s="91">
        <v>0</v>
      </c>
      <c r="H19" s="92">
        <v>0</v>
      </c>
      <c r="I19" s="93">
        <v>0</v>
      </c>
      <c r="J19" s="94">
        <v>0</v>
      </c>
      <c r="K19" s="95">
        <v>0</v>
      </c>
      <c r="L19" s="91">
        <v>0</v>
      </c>
      <c r="M19" s="94">
        <v>0</v>
      </c>
      <c r="N19" s="88">
        <f>B19+J19+M19+U19</f>
        <v>17673.059999999998</v>
      </c>
      <c r="O19" s="90">
        <f>C19+G19+R19</f>
        <v>1517.3999999999999</v>
      </c>
      <c r="P19" s="88">
        <v>0</v>
      </c>
      <c r="Q19" s="91">
        <v>0</v>
      </c>
      <c r="R19" s="91">
        <v>0</v>
      </c>
      <c r="S19" s="92">
        <v>0</v>
      </c>
      <c r="T19" s="92">
        <v>0</v>
      </c>
      <c r="U19" s="94">
        <v>0</v>
      </c>
      <c r="V19" s="86">
        <f>C19+G19</f>
        <v>1517.3999999999999</v>
      </c>
      <c r="W19" s="86">
        <f aca="true" t="shared" si="7" ref="W19:W30">R19</f>
        <v>0</v>
      </c>
      <c r="X19" s="86">
        <f aca="true" t="shared" si="8" ref="X19:X30">N19-U19-M19</f>
        <v>17673.059999999998</v>
      </c>
      <c r="Y19" s="86">
        <f>N19-U19</f>
        <v>17673.059999999998</v>
      </c>
      <c r="Z19" s="86">
        <f aca="true" t="shared" si="9" ref="Z19:Z30">X19-Y19</f>
        <v>0</v>
      </c>
      <c r="AA19" s="86">
        <f aca="true" t="shared" si="10" ref="AA19:AA30">U19</f>
        <v>0</v>
      </c>
    </row>
    <row r="20" spans="1:27" ht="12.75">
      <c r="A20" s="96">
        <v>43497</v>
      </c>
      <c r="B20" s="97">
        <v>13986.81</v>
      </c>
      <c r="C20" s="98">
        <v>1264.5</v>
      </c>
      <c r="D20" s="99">
        <v>5</v>
      </c>
      <c r="E20" s="100">
        <v>0</v>
      </c>
      <c r="F20" s="101">
        <v>0</v>
      </c>
      <c r="G20" s="101">
        <v>0</v>
      </c>
      <c r="H20" s="97">
        <v>868.6700000000001</v>
      </c>
      <c r="I20" s="102">
        <v>0</v>
      </c>
      <c r="J20" s="103">
        <v>868.6700000000001</v>
      </c>
      <c r="K20" s="104">
        <v>0</v>
      </c>
      <c r="L20" s="101">
        <v>0</v>
      </c>
      <c r="M20" s="105">
        <v>0</v>
      </c>
      <c r="N20" s="100">
        <f>B20+J20+M20+U20</f>
        <v>16574.42</v>
      </c>
      <c r="O20" s="99">
        <f>C20+G20+R20</f>
        <v>1264.5</v>
      </c>
      <c r="P20" s="100">
        <v>0</v>
      </c>
      <c r="Q20" s="101">
        <v>0</v>
      </c>
      <c r="R20" s="101">
        <v>0</v>
      </c>
      <c r="S20" s="97">
        <v>1718.94</v>
      </c>
      <c r="T20" s="97">
        <v>0</v>
      </c>
      <c r="U20" s="103">
        <v>1718.94</v>
      </c>
      <c r="V20" s="86">
        <f>C20+G20</f>
        <v>1264.5</v>
      </c>
      <c r="W20" s="86">
        <f>R20</f>
        <v>0</v>
      </c>
      <c r="X20" s="86">
        <f>N20-U20-M20</f>
        <v>14855.479999999998</v>
      </c>
      <c r="Y20" s="86">
        <f>N20-U20</f>
        <v>14855.479999999998</v>
      </c>
      <c r="Z20" s="86">
        <f t="shared" si="9"/>
        <v>0</v>
      </c>
      <c r="AA20" s="86">
        <f t="shared" si="10"/>
        <v>1718.94</v>
      </c>
    </row>
    <row r="21" spans="1:27" ht="12.75">
      <c r="A21" s="106">
        <v>43525</v>
      </c>
      <c r="B21" s="97">
        <v>7591.07</v>
      </c>
      <c r="C21" s="98">
        <v>758.6999999999999</v>
      </c>
      <c r="D21" s="99">
        <v>3</v>
      </c>
      <c r="E21" s="100">
        <v>0</v>
      </c>
      <c r="F21" s="101">
        <v>0</v>
      </c>
      <c r="G21" s="101">
        <v>0</v>
      </c>
      <c r="H21" s="97">
        <v>0</v>
      </c>
      <c r="I21" s="102">
        <v>0</v>
      </c>
      <c r="J21" s="103">
        <v>0</v>
      </c>
      <c r="K21" s="104">
        <v>0</v>
      </c>
      <c r="L21" s="101">
        <v>0</v>
      </c>
      <c r="M21" s="105">
        <v>0</v>
      </c>
      <c r="N21" s="100">
        <f aca="true" t="shared" si="11" ref="N21:N30">B21+J21+M21+U21</f>
        <v>7591.07</v>
      </c>
      <c r="O21" s="99">
        <f aca="true" t="shared" si="12" ref="O21:O30">C21+G21+R21</f>
        <v>758.6999999999999</v>
      </c>
      <c r="P21" s="100">
        <v>0</v>
      </c>
      <c r="Q21" s="101">
        <v>0</v>
      </c>
      <c r="R21" s="101">
        <v>0</v>
      </c>
      <c r="S21" s="97">
        <v>0</v>
      </c>
      <c r="T21" s="97">
        <v>0</v>
      </c>
      <c r="U21" s="103">
        <v>0</v>
      </c>
      <c r="V21" s="86">
        <f aca="true" t="shared" si="13" ref="V21:V30">C21+G21</f>
        <v>758.6999999999999</v>
      </c>
      <c r="W21" s="86">
        <f t="shared" si="7"/>
        <v>0</v>
      </c>
      <c r="X21" s="86">
        <f t="shared" si="8"/>
        <v>7591.07</v>
      </c>
      <c r="Y21" s="86">
        <f aca="true" t="shared" si="14" ref="Y21:Y30">N21-U21</f>
        <v>7591.07</v>
      </c>
      <c r="Z21" s="86">
        <f t="shared" si="9"/>
        <v>0</v>
      </c>
      <c r="AA21" s="86">
        <f t="shared" si="10"/>
        <v>0</v>
      </c>
    </row>
    <row r="22" spans="1:27" ht="12.75">
      <c r="A22" s="106">
        <v>43556</v>
      </c>
      <c r="B22" s="97">
        <v>11116.81</v>
      </c>
      <c r="C22" s="98">
        <v>1011.5999999999999</v>
      </c>
      <c r="D22" s="99">
        <v>4</v>
      </c>
      <c r="E22" s="100">
        <v>0</v>
      </c>
      <c r="F22" s="101">
        <v>0</v>
      </c>
      <c r="G22" s="101">
        <v>0</v>
      </c>
      <c r="H22" s="97">
        <v>0</v>
      </c>
      <c r="I22" s="102">
        <v>0</v>
      </c>
      <c r="J22" s="103">
        <v>0</v>
      </c>
      <c r="K22" s="104">
        <v>0</v>
      </c>
      <c r="L22" s="104">
        <v>0</v>
      </c>
      <c r="M22" s="103">
        <v>0</v>
      </c>
      <c r="N22" s="100">
        <f t="shared" si="11"/>
        <v>11116.81</v>
      </c>
      <c r="O22" s="99">
        <f t="shared" si="12"/>
        <v>1011.5999999999999</v>
      </c>
      <c r="P22" s="100">
        <v>0</v>
      </c>
      <c r="Q22" s="101">
        <v>0</v>
      </c>
      <c r="R22" s="101">
        <v>0</v>
      </c>
      <c r="S22" s="97">
        <v>0</v>
      </c>
      <c r="T22" s="97">
        <v>0</v>
      </c>
      <c r="U22" s="103">
        <v>0</v>
      </c>
      <c r="V22" s="86">
        <f t="shared" si="13"/>
        <v>1011.5999999999999</v>
      </c>
      <c r="W22" s="86">
        <f t="shared" si="7"/>
        <v>0</v>
      </c>
      <c r="X22" s="86">
        <f t="shared" si="8"/>
        <v>11116.81</v>
      </c>
      <c r="Y22" s="86">
        <f t="shared" si="14"/>
        <v>11116.81</v>
      </c>
      <c r="Z22" s="86">
        <f t="shared" si="9"/>
        <v>0</v>
      </c>
      <c r="AA22" s="86">
        <f t="shared" si="10"/>
        <v>0</v>
      </c>
    </row>
    <row r="23" spans="1:27" ht="12.75">
      <c r="A23" s="106">
        <v>43586</v>
      </c>
      <c r="B23" s="97">
        <v>13826.74</v>
      </c>
      <c r="C23" s="98">
        <v>1264.5</v>
      </c>
      <c r="D23" s="99">
        <v>5</v>
      </c>
      <c r="E23" s="100">
        <v>0</v>
      </c>
      <c r="F23" s="101">
        <v>0</v>
      </c>
      <c r="G23" s="101">
        <v>0</v>
      </c>
      <c r="H23" s="97">
        <v>0</v>
      </c>
      <c r="I23" s="102">
        <v>0</v>
      </c>
      <c r="J23" s="103">
        <v>0</v>
      </c>
      <c r="K23" s="104">
        <v>0</v>
      </c>
      <c r="L23" s="101">
        <v>0</v>
      </c>
      <c r="M23" s="103">
        <v>0</v>
      </c>
      <c r="N23" s="100">
        <f t="shared" si="11"/>
        <v>13826.74</v>
      </c>
      <c r="O23" s="99">
        <f t="shared" si="12"/>
        <v>1264.5</v>
      </c>
      <c r="P23" s="100">
        <v>0</v>
      </c>
      <c r="Q23" s="101">
        <v>0</v>
      </c>
      <c r="R23" s="101">
        <v>0</v>
      </c>
      <c r="S23" s="97">
        <v>0</v>
      </c>
      <c r="T23" s="97">
        <v>0</v>
      </c>
      <c r="U23" s="103">
        <v>0</v>
      </c>
      <c r="V23" s="86">
        <f t="shared" si="13"/>
        <v>1264.5</v>
      </c>
      <c r="W23" s="86">
        <f t="shared" si="7"/>
        <v>0</v>
      </c>
      <c r="X23" s="86">
        <f t="shared" si="8"/>
        <v>13826.74</v>
      </c>
      <c r="Y23" s="86">
        <f t="shared" si="14"/>
        <v>13826.74</v>
      </c>
      <c r="Z23" s="86">
        <f t="shared" si="9"/>
        <v>0</v>
      </c>
      <c r="AA23" s="86">
        <f t="shared" si="10"/>
        <v>0</v>
      </c>
    </row>
    <row r="24" spans="1:27" ht="12.75">
      <c r="A24" s="106">
        <v>43617</v>
      </c>
      <c r="B24" s="97">
        <v>6579.74</v>
      </c>
      <c r="C24" s="98">
        <v>758.6999999999999</v>
      </c>
      <c r="D24" s="99">
        <v>3</v>
      </c>
      <c r="E24" s="100">
        <v>0</v>
      </c>
      <c r="F24" s="101">
        <v>0</v>
      </c>
      <c r="G24" s="101">
        <v>0</v>
      </c>
      <c r="H24" s="97">
        <v>0</v>
      </c>
      <c r="I24" s="102">
        <v>0</v>
      </c>
      <c r="J24" s="103">
        <v>0</v>
      </c>
      <c r="K24" s="104">
        <v>0</v>
      </c>
      <c r="L24" s="101">
        <v>0</v>
      </c>
      <c r="M24" s="103">
        <v>0</v>
      </c>
      <c r="N24" s="100">
        <f t="shared" si="11"/>
        <v>6579.74</v>
      </c>
      <c r="O24" s="99">
        <f t="shared" si="12"/>
        <v>758.6999999999999</v>
      </c>
      <c r="P24" s="100">
        <v>0</v>
      </c>
      <c r="Q24" s="101">
        <v>0</v>
      </c>
      <c r="R24" s="101">
        <v>0</v>
      </c>
      <c r="S24" s="97">
        <v>0</v>
      </c>
      <c r="T24" s="97">
        <v>0</v>
      </c>
      <c r="U24" s="103">
        <v>0</v>
      </c>
      <c r="V24" s="86">
        <f t="shared" si="13"/>
        <v>758.6999999999999</v>
      </c>
      <c r="W24" s="86">
        <f t="shared" si="7"/>
        <v>0</v>
      </c>
      <c r="X24" s="86">
        <f t="shared" si="8"/>
        <v>6579.74</v>
      </c>
      <c r="Y24" s="86">
        <f t="shared" si="14"/>
        <v>6579.74</v>
      </c>
      <c r="Z24" s="86">
        <f t="shared" si="9"/>
        <v>0</v>
      </c>
      <c r="AA24" s="86">
        <f t="shared" si="10"/>
        <v>0</v>
      </c>
    </row>
    <row r="25" spans="1:27" ht="12.75">
      <c r="A25" s="106">
        <v>43647</v>
      </c>
      <c r="B25" s="97">
        <v>5726.85</v>
      </c>
      <c r="C25" s="98">
        <v>505.79999999999995</v>
      </c>
      <c r="D25" s="99">
        <v>2</v>
      </c>
      <c r="E25" s="100">
        <v>0</v>
      </c>
      <c r="F25" s="101">
        <v>0</v>
      </c>
      <c r="G25" s="101">
        <v>0</v>
      </c>
      <c r="H25" s="97">
        <v>0</v>
      </c>
      <c r="I25" s="102">
        <v>0</v>
      </c>
      <c r="J25" s="103">
        <v>0</v>
      </c>
      <c r="K25" s="104">
        <v>0</v>
      </c>
      <c r="L25" s="101">
        <v>0</v>
      </c>
      <c r="M25" s="103">
        <v>0</v>
      </c>
      <c r="N25" s="100">
        <f t="shared" si="11"/>
        <v>5726.85</v>
      </c>
      <c r="O25" s="99">
        <f t="shared" si="12"/>
        <v>505.79999999999995</v>
      </c>
      <c r="P25" s="100">
        <v>0</v>
      </c>
      <c r="Q25" s="101">
        <v>0</v>
      </c>
      <c r="R25" s="101">
        <v>0</v>
      </c>
      <c r="S25" s="97">
        <v>0</v>
      </c>
      <c r="T25" s="97">
        <v>0</v>
      </c>
      <c r="U25" s="103">
        <v>0</v>
      </c>
      <c r="V25" s="86">
        <f t="shared" si="13"/>
        <v>505.79999999999995</v>
      </c>
      <c r="W25" s="86">
        <f t="shared" si="7"/>
        <v>0</v>
      </c>
      <c r="X25" s="86">
        <f t="shared" si="8"/>
        <v>5726.85</v>
      </c>
      <c r="Y25" s="86">
        <f t="shared" si="14"/>
        <v>5726.85</v>
      </c>
      <c r="Z25" s="86">
        <f t="shared" si="9"/>
        <v>0</v>
      </c>
      <c r="AA25" s="86">
        <f t="shared" si="10"/>
        <v>0</v>
      </c>
    </row>
    <row r="26" spans="1:27" ht="12.75">
      <c r="A26" s="106">
        <v>43678</v>
      </c>
      <c r="B26" s="97">
        <v>17563.68</v>
      </c>
      <c r="C26" s="98">
        <v>1517.3999999999999</v>
      </c>
      <c r="D26" s="99">
        <v>6</v>
      </c>
      <c r="E26" s="100">
        <v>0</v>
      </c>
      <c r="F26" s="101">
        <v>0</v>
      </c>
      <c r="G26" s="101">
        <v>0</v>
      </c>
      <c r="H26" s="97">
        <v>0</v>
      </c>
      <c r="I26" s="102">
        <v>0</v>
      </c>
      <c r="J26" s="103">
        <v>0</v>
      </c>
      <c r="K26" s="104">
        <v>0</v>
      </c>
      <c r="L26" s="101">
        <v>0</v>
      </c>
      <c r="M26" s="103">
        <v>0</v>
      </c>
      <c r="N26" s="100">
        <f t="shared" si="11"/>
        <v>17563.68</v>
      </c>
      <c r="O26" s="99">
        <f t="shared" si="12"/>
        <v>1517.3999999999999</v>
      </c>
      <c r="P26" s="100">
        <v>0</v>
      </c>
      <c r="Q26" s="101">
        <v>0</v>
      </c>
      <c r="R26" s="101">
        <v>0</v>
      </c>
      <c r="S26" s="97">
        <v>0</v>
      </c>
      <c r="T26" s="97">
        <v>0</v>
      </c>
      <c r="U26" s="103">
        <v>0</v>
      </c>
      <c r="V26" s="86">
        <f t="shared" si="13"/>
        <v>1517.3999999999999</v>
      </c>
      <c r="W26" s="86">
        <f t="shared" si="7"/>
        <v>0</v>
      </c>
      <c r="X26" s="86">
        <f t="shared" si="8"/>
        <v>17563.68</v>
      </c>
      <c r="Y26" s="86">
        <f t="shared" si="14"/>
        <v>17563.68</v>
      </c>
      <c r="Z26" s="86">
        <f t="shared" si="9"/>
        <v>0</v>
      </c>
      <c r="AA26" s="86">
        <f t="shared" si="10"/>
        <v>0</v>
      </c>
    </row>
    <row r="27" spans="1:27" ht="12.75">
      <c r="A27" s="106">
        <v>43709</v>
      </c>
      <c r="B27" s="97">
        <v>0</v>
      </c>
      <c r="C27" s="98">
        <v>0</v>
      </c>
      <c r="D27" s="99">
        <v>0</v>
      </c>
      <c r="E27" s="100">
        <v>0</v>
      </c>
      <c r="F27" s="101">
        <v>0</v>
      </c>
      <c r="G27" s="101">
        <v>0</v>
      </c>
      <c r="H27" s="97">
        <v>0</v>
      </c>
      <c r="I27" s="102">
        <v>0</v>
      </c>
      <c r="J27" s="103">
        <v>0</v>
      </c>
      <c r="K27" s="104">
        <v>0</v>
      </c>
      <c r="L27" s="101">
        <v>0</v>
      </c>
      <c r="M27" s="103">
        <v>0</v>
      </c>
      <c r="N27" s="100">
        <f t="shared" si="11"/>
        <v>0</v>
      </c>
      <c r="O27" s="99">
        <f t="shared" si="12"/>
        <v>0</v>
      </c>
      <c r="P27" s="100">
        <v>0</v>
      </c>
      <c r="Q27" s="101">
        <v>0</v>
      </c>
      <c r="R27" s="101">
        <v>0</v>
      </c>
      <c r="S27" s="97">
        <v>0</v>
      </c>
      <c r="T27" s="97">
        <v>0</v>
      </c>
      <c r="U27" s="103">
        <v>0</v>
      </c>
      <c r="V27" s="86">
        <f t="shared" si="13"/>
        <v>0</v>
      </c>
      <c r="W27" s="86">
        <f t="shared" si="7"/>
        <v>0</v>
      </c>
      <c r="X27" s="86">
        <f t="shared" si="8"/>
        <v>0</v>
      </c>
      <c r="Y27" s="86">
        <f t="shared" si="14"/>
        <v>0</v>
      </c>
      <c r="Z27" s="86">
        <f t="shared" si="9"/>
        <v>0</v>
      </c>
      <c r="AA27" s="86">
        <f t="shared" si="10"/>
        <v>0</v>
      </c>
    </row>
    <row r="28" spans="1:27" ht="12.75">
      <c r="A28" s="106">
        <v>43739</v>
      </c>
      <c r="B28" s="97">
        <v>0</v>
      </c>
      <c r="C28" s="98">
        <v>0</v>
      </c>
      <c r="D28" s="99">
        <v>0</v>
      </c>
      <c r="E28" s="100">
        <v>0</v>
      </c>
      <c r="F28" s="101">
        <v>0</v>
      </c>
      <c r="G28" s="101">
        <v>0</v>
      </c>
      <c r="H28" s="97">
        <v>0</v>
      </c>
      <c r="I28" s="102">
        <v>0</v>
      </c>
      <c r="J28" s="103">
        <v>0</v>
      </c>
      <c r="K28" s="104">
        <v>0</v>
      </c>
      <c r="L28" s="101">
        <v>0</v>
      </c>
      <c r="M28" s="107">
        <v>0</v>
      </c>
      <c r="N28" s="100">
        <f t="shared" si="11"/>
        <v>0</v>
      </c>
      <c r="O28" s="99">
        <f t="shared" si="12"/>
        <v>0</v>
      </c>
      <c r="P28" s="100">
        <v>0</v>
      </c>
      <c r="Q28" s="101">
        <v>0</v>
      </c>
      <c r="R28" s="101">
        <v>0</v>
      </c>
      <c r="S28" s="97">
        <v>0</v>
      </c>
      <c r="T28" s="97">
        <v>0</v>
      </c>
      <c r="U28" s="103">
        <v>0</v>
      </c>
      <c r="V28" s="86">
        <f t="shared" si="13"/>
        <v>0</v>
      </c>
      <c r="W28" s="86">
        <f t="shared" si="7"/>
        <v>0</v>
      </c>
      <c r="X28" s="86">
        <f t="shared" si="8"/>
        <v>0</v>
      </c>
      <c r="Y28" s="86">
        <f t="shared" si="14"/>
        <v>0</v>
      </c>
      <c r="Z28" s="86">
        <f t="shared" si="9"/>
        <v>0</v>
      </c>
      <c r="AA28" s="86">
        <f t="shared" si="10"/>
        <v>0</v>
      </c>
    </row>
    <row r="29" spans="1:27" ht="12.75">
      <c r="A29" s="106">
        <v>43770</v>
      </c>
      <c r="B29" s="97">
        <v>0</v>
      </c>
      <c r="C29" s="98">
        <v>0</v>
      </c>
      <c r="D29" s="99">
        <v>0</v>
      </c>
      <c r="E29" s="100">
        <v>0</v>
      </c>
      <c r="F29" s="101">
        <v>0</v>
      </c>
      <c r="G29" s="101">
        <v>0</v>
      </c>
      <c r="H29" s="97">
        <v>0</v>
      </c>
      <c r="I29" s="102">
        <v>0</v>
      </c>
      <c r="J29" s="103">
        <v>0</v>
      </c>
      <c r="K29" s="104">
        <v>0</v>
      </c>
      <c r="L29" s="101">
        <v>0</v>
      </c>
      <c r="M29" s="103">
        <v>0</v>
      </c>
      <c r="N29" s="100">
        <f t="shared" si="11"/>
        <v>0</v>
      </c>
      <c r="O29" s="99">
        <f t="shared" si="12"/>
        <v>0</v>
      </c>
      <c r="P29" s="100">
        <v>0</v>
      </c>
      <c r="Q29" s="101">
        <v>0</v>
      </c>
      <c r="R29" s="101">
        <v>0</v>
      </c>
      <c r="S29" s="97">
        <v>0</v>
      </c>
      <c r="T29" s="97">
        <v>0</v>
      </c>
      <c r="U29" s="103">
        <v>0</v>
      </c>
      <c r="V29" s="86">
        <f t="shared" si="13"/>
        <v>0</v>
      </c>
      <c r="W29" s="86">
        <f t="shared" si="7"/>
        <v>0</v>
      </c>
      <c r="X29" s="86">
        <f t="shared" si="8"/>
        <v>0</v>
      </c>
      <c r="Y29" s="86">
        <f t="shared" si="14"/>
        <v>0</v>
      </c>
      <c r="Z29" s="86">
        <f t="shared" si="9"/>
        <v>0</v>
      </c>
      <c r="AA29" s="86">
        <f t="shared" si="10"/>
        <v>0</v>
      </c>
    </row>
    <row r="30" spans="1:27" ht="13.5" thickBot="1">
      <c r="A30" s="108">
        <v>43800</v>
      </c>
      <c r="B30" s="109">
        <v>0</v>
      </c>
      <c r="C30" s="110">
        <v>0</v>
      </c>
      <c r="D30" s="111">
        <v>0</v>
      </c>
      <c r="E30" s="112">
        <v>0</v>
      </c>
      <c r="F30" s="113">
        <v>0</v>
      </c>
      <c r="G30" s="113">
        <v>0</v>
      </c>
      <c r="H30" s="109">
        <v>0</v>
      </c>
      <c r="I30" s="109">
        <v>0</v>
      </c>
      <c r="J30" s="114">
        <v>0</v>
      </c>
      <c r="K30" s="115">
        <v>0</v>
      </c>
      <c r="L30" s="113">
        <v>0</v>
      </c>
      <c r="M30" s="114">
        <v>0</v>
      </c>
      <c r="N30" s="116">
        <f t="shared" si="11"/>
        <v>0</v>
      </c>
      <c r="O30" s="111">
        <f t="shared" si="12"/>
        <v>0</v>
      </c>
      <c r="P30" s="112">
        <v>0</v>
      </c>
      <c r="Q30" s="113">
        <v>0</v>
      </c>
      <c r="R30" s="113">
        <v>0</v>
      </c>
      <c r="S30" s="109">
        <v>0</v>
      </c>
      <c r="T30" s="109">
        <v>0</v>
      </c>
      <c r="U30" s="114">
        <v>0</v>
      </c>
      <c r="V30" s="86">
        <f t="shared" si="13"/>
        <v>0</v>
      </c>
      <c r="W30" s="86">
        <f t="shared" si="7"/>
        <v>0</v>
      </c>
      <c r="X30" s="86">
        <f t="shared" si="8"/>
        <v>0</v>
      </c>
      <c r="Y30" s="86">
        <f t="shared" si="14"/>
        <v>0</v>
      </c>
      <c r="Z30" s="86">
        <f t="shared" si="9"/>
        <v>0</v>
      </c>
      <c r="AA30" s="86">
        <f t="shared" si="10"/>
        <v>0</v>
      </c>
    </row>
    <row r="31" spans="1:27" ht="13.5" thickTop="1">
      <c r="A31" s="117" t="s">
        <v>83</v>
      </c>
      <c r="B31" s="118">
        <f aca="true" t="shared" si="15" ref="B31:U31">SUM(B19:B30)</f>
        <v>94064.76000000001</v>
      </c>
      <c r="C31" s="119">
        <f t="shared" si="15"/>
        <v>8598.599999999999</v>
      </c>
      <c r="D31" s="120">
        <f t="shared" si="15"/>
        <v>34</v>
      </c>
      <c r="E31" s="121">
        <f t="shared" si="15"/>
        <v>0</v>
      </c>
      <c r="F31" s="122">
        <f t="shared" si="15"/>
        <v>0</v>
      </c>
      <c r="G31" s="122">
        <f t="shared" si="15"/>
        <v>0</v>
      </c>
      <c r="H31" s="118">
        <f t="shared" si="15"/>
        <v>868.6700000000001</v>
      </c>
      <c r="I31" s="118">
        <f t="shared" si="15"/>
        <v>0</v>
      </c>
      <c r="J31" s="123">
        <f t="shared" si="15"/>
        <v>868.6700000000001</v>
      </c>
      <c r="K31" s="124">
        <f t="shared" si="15"/>
        <v>0</v>
      </c>
      <c r="L31" s="122">
        <f t="shared" si="15"/>
        <v>0</v>
      </c>
      <c r="M31" s="123">
        <f t="shared" si="15"/>
        <v>0</v>
      </c>
      <c r="N31" s="121">
        <f t="shared" si="15"/>
        <v>96652.37</v>
      </c>
      <c r="O31" s="120">
        <f t="shared" si="15"/>
        <v>8598.599999999999</v>
      </c>
      <c r="P31" s="121">
        <f t="shared" si="15"/>
        <v>0</v>
      </c>
      <c r="Q31" s="122">
        <f t="shared" si="15"/>
        <v>0</v>
      </c>
      <c r="R31" s="122">
        <f t="shared" si="15"/>
        <v>0</v>
      </c>
      <c r="S31" s="118">
        <f t="shared" si="15"/>
        <v>1718.94</v>
      </c>
      <c r="T31" s="118">
        <f t="shared" si="15"/>
        <v>0</v>
      </c>
      <c r="U31" s="125">
        <f t="shared" si="15"/>
        <v>1718.94</v>
      </c>
      <c r="V31" s="86"/>
      <c r="W31" s="86"/>
      <c r="X31" s="86"/>
      <c r="Y31" s="86"/>
      <c r="Z31" s="86"/>
      <c r="AA31" s="86"/>
    </row>
    <row r="32" spans="1:27" ht="13.5" thickBot="1">
      <c r="A32" s="77" t="s">
        <v>81</v>
      </c>
      <c r="B32" s="78">
        <f>B31+B18</f>
        <v>3444471.13</v>
      </c>
      <c r="C32" s="79">
        <f aca="true" t="shared" si="16" ref="C32:U32">C31+C18</f>
        <v>341710.68</v>
      </c>
      <c r="D32" s="80">
        <f t="shared" si="16"/>
        <v>1944</v>
      </c>
      <c r="E32" s="81">
        <f t="shared" si="16"/>
        <v>3565964.6115</v>
      </c>
      <c r="F32" s="82">
        <f t="shared" si="16"/>
        <v>13552</v>
      </c>
      <c r="G32" s="82">
        <f t="shared" si="16"/>
        <v>1055443.465746875</v>
      </c>
      <c r="H32" s="78">
        <f t="shared" si="16"/>
        <v>460561.42846000014</v>
      </c>
      <c r="I32" s="78">
        <f t="shared" si="16"/>
        <v>129556.41669</v>
      </c>
      <c r="J32" s="83">
        <f t="shared" si="16"/>
        <v>4156082.45665</v>
      </c>
      <c r="K32" s="84">
        <f t="shared" si="16"/>
        <v>142</v>
      </c>
      <c r="L32" s="82">
        <f t="shared" si="16"/>
        <v>11308</v>
      </c>
      <c r="M32" s="83">
        <f t="shared" si="16"/>
        <v>35760.53</v>
      </c>
      <c r="N32" s="81">
        <f t="shared" si="16"/>
        <v>7809849.880100001</v>
      </c>
      <c r="O32" s="80">
        <f t="shared" si="16"/>
        <v>1442563.040908935</v>
      </c>
      <c r="P32" s="81">
        <f t="shared" si="16"/>
        <v>136773.4076</v>
      </c>
      <c r="Q32" s="85">
        <f t="shared" si="16"/>
        <v>453</v>
      </c>
      <c r="R32" s="85">
        <f t="shared" si="16"/>
        <v>48031.669007979035</v>
      </c>
      <c r="S32" s="81">
        <f t="shared" si="16"/>
        <v>38923.88154000001</v>
      </c>
      <c r="T32" s="81">
        <f t="shared" si="16"/>
        <v>11143.924309999999</v>
      </c>
      <c r="U32" s="83">
        <f t="shared" si="16"/>
        <v>186841.21345</v>
      </c>
      <c r="V32" s="86"/>
      <c r="W32" s="86"/>
      <c r="X32" s="86"/>
      <c r="Y32" s="86"/>
      <c r="Z32" s="86"/>
      <c r="AA32" s="86"/>
    </row>
    <row r="33" spans="1:27" ht="12.75">
      <c r="A33" s="126"/>
      <c r="B33" s="127"/>
      <c r="C33" s="128"/>
      <c r="D33" s="128"/>
      <c r="E33" s="127"/>
      <c r="F33" s="129"/>
      <c r="G33" s="129"/>
      <c r="H33" s="127"/>
      <c r="I33" s="127"/>
      <c r="J33" s="127"/>
      <c r="K33" s="129"/>
      <c r="L33" s="129"/>
      <c r="M33" s="127"/>
      <c r="N33" s="127"/>
      <c r="O33" s="128"/>
      <c r="P33" s="127"/>
      <c r="Q33" s="128"/>
      <c r="R33" s="128"/>
      <c r="S33" s="127"/>
      <c r="T33" s="127"/>
      <c r="U33" s="127"/>
      <c r="V33" s="86"/>
      <c r="W33" s="86"/>
      <c r="X33" s="86"/>
      <c r="Y33" s="86"/>
      <c r="Z33" s="86"/>
      <c r="AA33" s="86"/>
    </row>
    <row r="34" spans="1:15" ht="12.75">
      <c r="A34" s="126"/>
      <c r="B34" s="127"/>
      <c r="C34" s="128"/>
      <c r="D34" s="128"/>
      <c r="E34" s="127"/>
      <c r="F34" s="129"/>
      <c r="G34" s="129"/>
      <c r="H34" s="127"/>
      <c r="I34" s="127"/>
      <c r="J34" s="127"/>
      <c r="K34" s="129"/>
      <c r="L34" s="129"/>
      <c r="M34" s="127"/>
      <c r="N34" s="127"/>
      <c r="O34" s="128"/>
    </row>
    <row r="35" spans="1:11" ht="12.75">
      <c r="A35" s="12"/>
      <c r="K35" s="35"/>
    </row>
    <row r="36" spans="1:11" ht="12.75">
      <c r="A36" s="12"/>
      <c r="K36" s="35"/>
    </row>
    <row r="37" spans="1:11" ht="12.75">
      <c r="A37" s="12"/>
      <c r="K37" s="35"/>
    </row>
    <row r="38" spans="1:11" ht="12.75">
      <c r="A38" s="12"/>
      <c r="K38" s="35"/>
    </row>
    <row r="39" spans="1:11" ht="12.75">
      <c r="A39" s="12"/>
      <c r="K39" s="35"/>
    </row>
    <row r="40" spans="1:11" ht="12.75">
      <c r="A40" s="12"/>
      <c r="K40" s="35"/>
    </row>
    <row r="41" spans="1:11" ht="12.75">
      <c r="A41" s="12"/>
      <c r="K41" s="35"/>
    </row>
    <row r="42" spans="1:11" ht="12.75">
      <c r="A42" s="12"/>
      <c r="K42" s="35"/>
    </row>
    <row r="43" spans="1:11" ht="12.75">
      <c r="A43" s="12"/>
      <c r="K43" s="35"/>
    </row>
    <row r="44" spans="1:11" ht="12.75">
      <c r="A44" s="12"/>
      <c r="K44" s="35"/>
    </row>
    <row r="45" spans="1:11" ht="12.75">
      <c r="A45" s="12"/>
      <c r="K45" s="35"/>
    </row>
    <row r="46" spans="1:11" ht="12.75">
      <c r="A46" s="12"/>
      <c r="K46" s="35"/>
    </row>
    <row r="47" spans="1:11" ht="12.75">
      <c r="A47" s="12"/>
      <c r="K47" s="35"/>
    </row>
    <row r="48" spans="1:11" ht="12.75">
      <c r="A48" s="12"/>
      <c r="K48" s="35"/>
    </row>
    <row r="49" spans="1:11" ht="12.75">
      <c r="A49" s="12"/>
      <c r="K49" s="35"/>
    </row>
    <row r="50" spans="1:11" ht="12.75">
      <c r="A50" s="12"/>
      <c r="K50" s="35"/>
    </row>
    <row r="51" spans="1:11" ht="12.75">
      <c r="A51" s="12"/>
      <c r="K51" s="35"/>
    </row>
    <row r="52" spans="1:11" ht="12.75">
      <c r="A52" s="12"/>
      <c r="K52" s="35"/>
    </row>
    <row r="53" spans="1:11" ht="12.75">
      <c r="A53" s="12"/>
      <c r="K53" s="35"/>
    </row>
    <row r="54" spans="1:11" ht="12.75">
      <c r="A54" s="12"/>
      <c r="K54" s="35"/>
    </row>
    <row r="55" spans="1:11" ht="12.75">
      <c r="A55" s="12"/>
      <c r="K55" s="35"/>
    </row>
    <row r="56" spans="1:11" ht="12.75">
      <c r="A56" s="12"/>
      <c r="K56" s="35"/>
    </row>
    <row r="57" spans="1:11" ht="12.75">
      <c r="A57" s="12"/>
      <c r="K57" s="35"/>
    </row>
    <row r="58" spans="1:11" ht="12.75">
      <c r="A58" s="12"/>
      <c r="K58" s="35"/>
    </row>
    <row r="59" spans="1:11" ht="12.75">
      <c r="A59" s="12"/>
      <c r="K59" s="35"/>
    </row>
    <row r="60" spans="1:11" ht="12.75">
      <c r="A60" s="12"/>
      <c r="K60" s="35"/>
    </row>
    <row r="61" spans="1:11" ht="12.75">
      <c r="A61" s="12"/>
      <c r="K61" s="35"/>
    </row>
    <row r="62" spans="1:11" ht="12.75">
      <c r="A62" s="12"/>
      <c r="K62" s="35"/>
    </row>
    <row r="63" spans="1:11" ht="12.75">
      <c r="A63" s="12"/>
      <c r="K63" s="35"/>
    </row>
    <row r="64" spans="1:11" ht="12.75">
      <c r="A64" s="12"/>
      <c r="K64" s="35"/>
    </row>
    <row r="65" spans="1:11" ht="12.75">
      <c r="A65" s="12"/>
      <c r="K65" s="35"/>
    </row>
    <row r="66" spans="1:11" ht="12.75">
      <c r="A66" s="12"/>
      <c r="K66" s="35"/>
    </row>
    <row r="67" spans="1:11" ht="12.75">
      <c r="A67" s="12"/>
      <c r="K67" s="35"/>
    </row>
    <row r="68" spans="1:11" ht="12.75">
      <c r="A68" s="12"/>
      <c r="K68" s="35"/>
    </row>
    <row r="69" spans="1:11" ht="12.75">
      <c r="A69" s="12"/>
      <c r="K69" s="35"/>
    </row>
    <row r="70" spans="1:11" ht="12.75">
      <c r="A70" s="12"/>
      <c r="K70" s="35"/>
    </row>
    <row r="71" spans="1:11" ht="12.75">
      <c r="A71" s="12"/>
      <c r="K71" s="35"/>
    </row>
    <row r="72" spans="1:11" ht="12.75">
      <c r="A72" s="12"/>
      <c r="K72" s="35"/>
    </row>
    <row r="73" spans="1:11" ht="12.75">
      <c r="A73" s="12"/>
      <c r="K73" s="35"/>
    </row>
    <row r="74" spans="1:11" ht="12.75">
      <c r="A74" s="12"/>
      <c r="K74" s="35"/>
    </row>
    <row r="75" spans="1:11" ht="12.75">
      <c r="A75" s="12"/>
      <c r="K75" s="35"/>
    </row>
    <row r="76" spans="1:11" ht="12.75">
      <c r="A76" s="12"/>
      <c r="K76" s="35"/>
    </row>
    <row r="77" spans="1:11" ht="12.75">
      <c r="A77" s="12"/>
      <c r="K77" s="35"/>
    </row>
    <row r="78" spans="1:11" ht="12.75">
      <c r="A78" s="12"/>
      <c r="K78" s="35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</sheetData>
  <sheetProtection/>
  <mergeCells count="6">
    <mergeCell ref="P2:U2"/>
    <mergeCell ref="A1:N1"/>
    <mergeCell ref="A2:D2"/>
    <mergeCell ref="E2:J2"/>
    <mergeCell ref="K2:M2"/>
    <mergeCell ref="N2:O2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0"/>
  <sheetViews>
    <sheetView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14.57421875" style="0" bestFit="1" customWidth="1"/>
    <col min="2" max="2" width="11.28125" style="0" bestFit="1" customWidth="1"/>
    <col min="3" max="3" width="13.8515625" style="0" bestFit="1" customWidth="1"/>
    <col min="4" max="4" width="9.00390625" style="0" bestFit="1" customWidth="1"/>
    <col min="5" max="5" width="17.7109375" style="0" bestFit="1" customWidth="1"/>
    <col min="6" max="6" width="12.140625" style="0" bestFit="1" customWidth="1"/>
    <col min="7" max="7" width="11.00390625" style="0" bestFit="1" customWidth="1"/>
    <col min="8" max="8" width="12.421875" style="0" bestFit="1" customWidth="1"/>
    <col min="9" max="9" width="13.140625" style="0" bestFit="1" customWidth="1"/>
    <col min="10" max="10" width="14.140625" style="0" bestFit="1" customWidth="1"/>
    <col min="11" max="11" width="13.140625" style="0" bestFit="1" customWidth="1"/>
  </cols>
  <sheetData>
    <row r="5" spans="1:11" ht="15">
      <c r="A5" s="130"/>
      <c r="B5" s="130"/>
      <c r="C5" s="130"/>
      <c r="D5" s="130"/>
      <c r="E5" s="131" t="s">
        <v>84</v>
      </c>
      <c r="F5" s="132" t="s">
        <v>85</v>
      </c>
      <c r="G5" s="133"/>
      <c r="H5" s="132" t="s">
        <v>86</v>
      </c>
      <c r="I5" s="133"/>
      <c r="J5" s="134" t="s">
        <v>87</v>
      </c>
      <c r="K5" s="135"/>
    </row>
    <row r="6" spans="1:11" ht="15">
      <c r="A6" s="191" t="s">
        <v>88</v>
      </c>
      <c r="B6" s="191"/>
      <c r="C6" s="191" t="s">
        <v>89</v>
      </c>
      <c r="D6" s="192"/>
      <c r="E6" s="131" t="s">
        <v>90</v>
      </c>
      <c r="F6" s="132" t="s">
        <v>91</v>
      </c>
      <c r="G6" s="132" t="s">
        <v>92</v>
      </c>
      <c r="H6" s="132" t="s">
        <v>91</v>
      </c>
      <c r="I6" s="132" t="s">
        <v>92</v>
      </c>
      <c r="J6" s="136" t="s">
        <v>91</v>
      </c>
      <c r="K6" s="137" t="s">
        <v>92</v>
      </c>
    </row>
    <row r="7" spans="1:11" ht="15">
      <c r="A7" s="138" t="s">
        <v>93</v>
      </c>
      <c r="B7" s="138" t="s">
        <v>42</v>
      </c>
      <c r="C7" s="138" t="s">
        <v>93</v>
      </c>
      <c r="D7" s="138" t="s">
        <v>42</v>
      </c>
      <c r="E7" s="131" t="s">
        <v>94</v>
      </c>
      <c r="F7" s="139" t="s">
        <v>95</v>
      </c>
      <c r="G7" s="139" t="s">
        <v>96</v>
      </c>
      <c r="H7" s="139" t="s">
        <v>95</v>
      </c>
      <c r="I7" s="139" t="s">
        <v>96</v>
      </c>
      <c r="J7" s="140" t="s">
        <v>95</v>
      </c>
      <c r="K7" s="141" t="s">
        <v>96</v>
      </c>
    </row>
    <row r="8" spans="1:11" ht="15">
      <c r="A8" s="142">
        <f>(F8/10)</f>
        <v>-210076.6</v>
      </c>
      <c r="B8" s="143">
        <f>G8/F8</f>
        <v>0.0012926142178614848</v>
      </c>
      <c r="C8" s="144">
        <f>H8/10</f>
        <v>154263.7</v>
      </c>
      <c r="D8" s="145">
        <f>I8/H8</f>
        <v>0.0016911042584872528</v>
      </c>
      <c r="E8" s="146">
        <v>43344</v>
      </c>
      <c r="F8" s="147">
        <v>-2100766</v>
      </c>
      <c r="G8" s="148">
        <v>-2715.48</v>
      </c>
      <c r="H8" s="147">
        <v>1542637</v>
      </c>
      <c r="I8" s="148">
        <v>2608.76</v>
      </c>
      <c r="J8" s="149">
        <v>-558129</v>
      </c>
      <c r="K8" s="150">
        <v>-106.72</v>
      </c>
    </row>
    <row r="9" spans="1:11" ht="15">
      <c r="A9" s="142">
        <f aca="true" t="shared" si="0" ref="A9:A19">(F9/10)</f>
        <v>-187712.7</v>
      </c>
      <c r="B9" s="143">
        <f aca="true" t="shared" si="1" ref="B9:B19">G9/F9</f>
        <v>0.0012943130645928593</v>
      </c>
      <c r="C9" s="144">
        <f aca="true" t="shared" si="2" ref="C9:C20">H9/10</f>
        <v>213557.8</v>
      </c>
      <c r="D9" s="145">
        <f aca="true" t="shared" si="3" ref="D9:D19">I9/H9</f>
        <v>0.0016822799260902668</v>
      </c>
      <c r="E9" s="146">
        <v>43374</v>
      </c>
      <c r="F9" s="147">
        <v>-1877127</v>
      </c>
      <c r="G9" s="148">
        <v>-2429.59</v>
      </c>
      <c r="H9" s="147">
        <v>2135578</v>
      </c>
      <c r="I9" s="148">
        <v>3592.64</v>
      </c>
      <c r="J9" s="149">
        <v>258450</v>
      </c>
      <c r="K9" s="150">
        <v>1163.05</v>
      </c>
    </row>
    <row r="10" spans="1:11" ht="15">
      <c r="A10" s="142">
        <f t="shared" si="0"/>
        <v>-419468.8</v>
      </c>
      <c r="B10" s="143">
        <f t="shared" si="1"/>
        <v>0.001286450863568399</v>
      </c>
      <c r="C10" s="144">
        <f t="shared" si="2"/>
        <v>879567.4</v>
      </c>
      <c r="D10" s="145">
        <f t="shared" si="3"/>
        <v>0.0016828272625838566</v>
      </c>
      <c r="E10" s="146">
        <v>43405</v>
      </c>
      <c r="F10" s="147">
        <v>-4194688</v>
      </c>
      <c r="G10" s="148">
        <v>-5396.26</v>
      </c>
      <c r="H10" s="147">
        <v>8795674</v>
      </c>
      <c r="I10" s="148">
        <v>14801.6</v>
      </c>
      <c r="J10" s="149">
        <v>4600986</v>
      </c>
      <c r="K10" s="150">
        <v>9405.34</v>
      </c>
    </row>
    <row r="11" spans="1:11" ht="15">
      <c r="A11" s="142">
        <f t="shared" si="0"/>
        <v>-691086</v>
      </c>
      <c r="B11" s="143">
        <f t="shared" si="1"/>
        <v>0.001289660042310219</v>
      </c>
      <c r="C11" s="144">
        <f t="shared" si="2"/>
        <v>1529518.5</v>
      </c>
      <c r="D11" s="145">
        <f t="shared" si="3"/>
        <v>0.001679618781989234</v>
      </c>
      <c r="E11" s="146">
        <v>43435</v>
      </c>
      <c r="F11" s="147">
        <v>-6910860</v>
      </c>
      <c r="G11" s="148">
        <v>-8912.66</v>
      </c>
      <c r="H11" s="147">
        <v>15295185</v>
      </c>
      <c r="I11" s="148">
        <v>25690.08</v>
      </c>
      <c r="J11" s="149">
        <v>8384326</v>
      </c>
      <c r="K11" s="150">
        <v>16777.42</v>
      </c>
    </row>
    <row r="12" spans="1:11" ht="15">
      <c r="A12" s="142">
        <f>(F12/10)</f>
        <v>30024.4</v>
      </c>
      <c r="B12" s="143">
        <f t="shared" si="1"/>
        <v>0.009481022102023687</v>
      </c>
      <c r="C12" s="144">
        <f t="shared" si="2"/>
        <v>1663145.9</v>
      </c>
      <c r="D12" s="145">
        <f t="shared" si="3"/>
        <v>0.0009062782766082037</v>
      </c>
      <c r="E12" s="146">
        <v>43466</v>
      </c>
      <c r="F12" s="147">
        <v>300244</v>
      </c>
      <c r="G12" s="148">
        <v>2846.62</v>
      </c>
      <c r="H12" s="147">
        <v>16631459</v>
      </c>
      <c r="I12" s="148">
        <v>15072.73</v>
      </c>
      <c r="J12" s="149">
        <v>16931703</v>
      </c>
      <c r="K12" s="150">
        <v>17919.35</v>
      </c>
    </row>
    <row r="13" spans="1:11" ht="15">
      <c r="A13" s="142">
        <f t="shared" si="0"/>
        <v>888251</v>
      </c>
      <c r="B13" s="143">
        <f t="shared" si="1"/>
        <v>0.0019118514924272533</v>
      </c>
      <c r="C13" s="144">
        <f t="shared" si="2"/>
        <v>1983082.9</v>
      </c>
      <c r="D13" s="145">
        <f t="shared" si="3"/>
        <v>0.00019201113579265898</v>
      </c>
      <c r="E13" s="146">
        <v>43497</v>
      </c>
      <c r="F13" s="147">
        <v>8882510</v>
      </c>
      <c r="G13" s="148">
        <v>16982.04</v>
      </c>
      <c r="H13" s="147">
        <v>19830829</v>
      </c>
      <c r="I13" s="148">
        <v>3807.74</v>
      </c>
      <c r="J13" s="149">
        <v>28713338</v>
      </c>
      <c r="K13" s="150">
        <v>20789.78</v>
      </c>
    </row>
    <row r="14" spans="1:11" ht="15">
      <c r="A14" s="142">
        <f t="shared" si="0"/>
        <v>806917.7</v>
      </c>
      <c r="B14" s="143">
        <f t="shared" si="1"/>
        <v>0.0019273328618271727</v>
      </c>
      <c r="C14" s="144">
        <f t="shared" si="2"/>
        <v>1755152.7</v>
      </c>
      <c r="D14" s="145">
        <f t="shared" si="3"/>
        <v>0.0002105440740284307</v>
      </c>
      <c r="E14" s="146">
        <v>43525</v>
      </c>
      <c r="F14" s="147">
        <v>8069177</v>
      </c>
      <c r="G14" s="148">
        <v>15551.99</v>
      </c>
      <c r="H14" s="147">
        <v>17551527</v>
      </c>
      <c r="I14" s="148">
        <v>3695.37</v>
      </c>
      <c r="J14" s="149">
        <v>25620704</v>
      </c>
      <c r="K14" s="150">
        <v>19247.36</v>
      </c>
    </row>
    <row r="15" spans="1:11" ht="15">
      <c r="A15" s="142">
        <f t="shared" si="0"/>
        <v>439728.2</v>
      </c>
      <c r="B15" s="143">
        <f t="shared" si="1"/>
        <v>0.001921054869803665</v>
      </c>
      <c r="C15" s="144">
        <f t="shared" si="2"/>
        <v>956108.6</v>
      </c>
      <c r="D15" s="145">
        <f t="shared" si="3"/>
        <v>0.0002159503637975853</v>
      </c>
      <c r="E15" s="146">
        <v>43556</v>
      </c>
      <c r="F15" s="147">
        <v>4397282</v>
      </c>
      <c r="G15" s="148">
        <v>8447.42</v>
      </c>
      <c r="H15" s="147">
        <v>9561086</v>
      </c>
      <c r="I15" s="148">
        <v>2064.72</v>
      </c>
      <c r="J15" s="149">
        <v>13958368</v>
      </c>
      <c r="K15" s="150">
        <v>10512.14</v>
      </c>
    </row>
    <row r="16" spans="1:11" ht="15">
      <c r="A16" s="142">
        <f t="shared" si="0"/>
        <v>209021.8</v>
      </c>
      <c r="B16" s="143">
        <f t="shared" si="1"/>
        <v>0.0019170297069492275</v>
      </c>
      <c r="C16" s="144">
        <f t="shared" si="2"/>
        <v>382050.8</v>
      </c>
      <c r="D16" s="145">
        <f t="shared" si="3"/>
        <v>0.00018441264878911389</v>
      </c>
      <c r="E16" s="146">
        <v>43586</v>
      </c>
      <c r="F16" s="147">
        <v>2090218</v>
      </c>
      <c r="G16" s="148">
        <v>4007.01</v>
      </c>
      <c r="H16" s="147">
        <v>3820508</v>
      </c>
      <c r="I16" s="148">
        <v>704.55</v>
      </c>
      <c r="J16" s="149">
        <v>5910726</v>
      </c>
      <c r="K16" s="150">
        <v>4711.56</v>
      </c>
    </row>
    <row r="17" spans="1:11" ht="15">
      <c r="A17" s="142">
        <f t="shared" si="0"/>
        <v>159140.8</v>
      </c>
      <c r="B17" s="143">
        <f t="shared" si="1"/>
        <v>0.0019043953530458564</v>
      </c>
      <c r="C17" s="144">
        <f t="shared" si="2"/>
        <v>198089.3</v>
      </c>
      <c r="D17" s="145">
        <f t="shared" si="3"/>
        <v>9.15395228313695E-05</v>
      </c>
      <c r="E17" s="146">
        <v>43617</v>
      </c>
      <c r="F17" s="147">
        <v>1591408</v>
      </c>
      <c r="G17" s="148">
        <v>3030.67</v>
      </c>
      <c r="H17" s="147">
        <v>1980893</v>
      </c>
      <c r="I17" s="148">
        <v>181.33</v>
      </c>
      <c r="J17" s="149">
        <v>3572300</v>
      </c>
      <c r="K17" s="150">
        <v>3212</v>
      </c>
    </row>
    <row r="18" spans="1:11" ht="15">
      <c r="A18" s="142">
        <f t="shared" si="0"/>
        <v>144471.7</v>
      </c>
      <c r="B18" s="143">
        <f t="shared" si="1"/>
        <v>0.0019106856221668327</v>
      </c>
      <c r="C18" s="144">
        <f t="shared" si="2"/>
        <v>147966.8</v>
      </c>
      <c r="D18" s="145">
        <f t="shared" si="3"/>
        <v>5.6796524625794436E-05</v>
      </c>
      <c r="E18" s="146">
        <v>43647</v>
      </c>
      <c r="F18" s="147">
        <v>1444717</v>
      </c>
      <c r="G18" s="148">
        <v>2760.4</v>
      </c>
      <c r="H18" s="147">
        <v>1479668</v>
      </c>
      <c r="I18" s="148">
        <v>84.04</v>
      </c>
      <c r="J18" s="149">
        <v>2924385</v>
      </c>
      <c r="K18" s="150">
        <v>2844.44</v>
      </c>
    </row>
    <row r="19" spans="1:11" ht="15">
      <c r="A19" s="142">
        <f t="shared" si="0"/>
        <v>159705.4</v>
      </c>
      <c r="B19" s="143">
        <f t="shared" si="1"/>
        <v>0.0019105052177321492</v>
      </c>
      <c r="C19" s="144">
        <f t="shared" si="2"/>
        <v>164332.8</v>
      </c>
      <c r="D19" s="145">
        <f t="shared" si="3"/>
        <v>7.024160727499318E-05</v>
      </c>
      <c r="E19" s="146">
        <v>43678</v>
      </c>
      <c r="F19" s="147">
        <v>1597054</v>
      </c>
      <c r="G19" s="148">
        <v>3051.18</v>
      </c>
      <c r="H19" s="147">
        <v>1643328</v>
      </c>
      <c r="I19" s="148">
        <v>115.43</v>
      </c>
      <c r="J19" s="149">
        <v>3240382</v>
      </c>
      <c r="K19" s="150">
        <v>3166.61</v>
      </c>
    </row>
    <row r="20" spans="1:11" ht="15">
      <c r="A20" s="142">
        <f>SUM(A8:A19)</f>
        <v>1328916.8999999997</v>
      </c>
      <c r="B20" s="151"/>
      <c r="C20" s="144">
        <f t="shared" si="2"/>
        <v>10026837.2</v>
      </c>
      <c r="D20" s="130"/>
      <c r="E20" s="152" t="s">
        <v>87</v>
      </c>
      <c r="F20" s="153">
        <v>13289167</v>
      </c>
      <c r="G20" s="154">
        <v>37223.34</v>
      </c>
      <c r="H20" s="153">
        <v>100268372</v>
      </c>
      <c r="I20" s="154">
        <v>72418.99</v>
      </c>
      <c r="J20" s="153">
        <v>113557539</v>
      </c>
      <c r="K20" s="155">
        <v>109642.33</v>
      </c>
    </row>
  </sheetData>
  <sheetProtection/>
  <mergeCells count="2">
    <mergeCell ref="A6:B6"/>
    <mergeCell ref="C6:D6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36.57421875" style="156" bestFit="1" customWidth="1"/>
    <col min="2" max="2" width="19.7109375" style="156" bestFit="1" customWidth="1"/>
    <col min="3" max="3" width="17.57421875" style="156" bestFit="1" customWidth="1"/>
    <col min="4" max="4" width="4.8515625" style="156" customWidth="1"/>
    <col min="5" max="5" width="20.28125" style="156" bestFit="1" customWidth="1"/>
    <col min="6" max="6" width="10.28125" style="156" customWidth="1"/>
    <col min="7" max="7" width="9.140625" style="156" customWidth="1"/>
    <col min="8" max="8" width="9.28125" style="156" bestFit="1" customWidth="1"/>
    <col min="9" max="16384" width="9.140625" style="156" customWidth="1"/>
  </cols>
  <sheetData>
    <row r="1" spans="1:8" ht="12.75">
      <c r="A1" s="194" t="s">
        <v>97</v>
      </c>
      <c r="B1" s="194"/>
      <c r="C1" s="194"/>
      <c r="D1"/>
      <c r="E1" s="194" t="s">
        <v>98</v>
      </c>
      <c r="F1" s="194"/>
      <c r="G1" s="194"/>
      <c r="H1" s="194"/>
    </row>
    <row r="2" spans="1:8" ht="13.5" thickBot="1">
      <c r="A2" s="157" t="s">
        <v>99</v>
      </c>
      <c r="B2" s="157" t="s">
        <v>39</v>
      </c>
      <c r="C2" s="157" t="s">
        <v>57</v>
      </c>
      <c r="D2"/>
      <c r="E2" s="158" t="s">
        <v>100</v>
      </c>
      <c r="F2" s="158" t="s">
        <v>101</v>
      </c>
      <c r="G2" s="158" t="s">
        <v>102</v>
      </c>
      <c r="H2" s="157" t="s">
        <v>103</v>
      </c>
    </row>
    <row r="3" spans="1:8" ht="13.5" thickTop="1">
      <c r="A3" s="159" t="s">
        <v>104</v>
      </c>
      <c r="B3" s="160">
        <f>36213.16+94933.43</f>
        <v>131146.59</v>
      </c>
      <c r="C3" s="160">
        <f>0+1718.94</f>
        <v>1718.94</v>
      </c>
      <c r="D3"/>
      <c r="E3" s="161" t="s">
        <v>105</v>
      </c>
      <c r="F3" s="162">
        <v>950</v>
      </c>
      <c r="G3" s="162">
        <v>18</v>
      </c>
      <c r="H3" s="163">
        <f>F3*G3</f>
        <v>17100</v>
      </c>
    </row>
    <row r="4" spans="1:8" ht="12.75">
      <c r="A4" s="159" t="s">
        <v>106</v>
      </c>
      <c r="B4" s="164">
        <f>(0.497*0.33+0.469*0.67)</f>
        <v>0.47824</v>
      </c>
      <c r="C4" s="164">
        <f>B4</f>
        <v>0.47824</v>
      </c>
      <c r="D4"/>
      <c r="E4" s="165" t="s">
        <v>107</v>
      </c>
      <c r="F4" s="163">
        <v>400</v>
      </c>
      <c r="G4" s="163">
        <v>15</v>
      </c>
      <c r="H4" s="163">
        <f>F4*G4</f>
        <v>6000</v>
      </c>
    </row>
    <row r="5" spans="1:8" ht="12.75">
      <c r="A5" s="159" t="s">
        <v>108</v>
      </c>
      <c r="B5" s="163">
        <f>3288+8599</f>
        <v>11887</v>
      </c>
      <c r="C5" s="163">
        <v>0</v>
      </c>
      <c r="D5"/>
      <c r="E5" s="165" t="s">
        <v>109</v>
      </c>
      <c r="F5" s="163">
        <v>300</v>
      </c>
      <c r="G5" s="163">
        <v>13</v>
      </c>
      <c r="H5" s="163">
        <f>F5*G5</f>
        <v>3900</v>
      </c>
    </row>
    <row r="6" spans="1:8" ht="12.75">
      <c r="A6" s="159" t="s">
        <v>110</v>
      </c>
      <c r="B6" s="166">
        <f>F9</f>
        <v>17.3038728897716</v>
      </c>
      <c r="C6" s="166">
        <f>F22</f>
        <v>16.413793103448278</v>
      </c>
      <c r="D6"/>
      <c r="E6" s="165" t="s">
        <v>111</v>
      </c>
      <c r="F6" s="163">
        <v>250</v>
      </c>
      <c r="G6" s="163">
        <v>20</v>
      </c>
      <c r="H6" s="163">
        <f>F6*G6</f>
        <v>5000</v>
      </c>
    </row>
    <row r="7" spans="1:8" ht="13.5" thickBot="1">
      <c r="A7" s="159" t="s">
        <v>112</v>
      </c>
      <c r="B7" s="160">
        <f>(B5*B4)*B6</f>
        <v>98369.72937835155</v>
      </c>
      <c r="C7" s="160">
        <f>(C5*C4)*C6</f>
        <v>0</v>
      </c>
      <c r="D7"/>
      <c r="E7" s="165" t="s">
        <v>61</v>
      </c>
      <c r="F7" s="167">
        <v>114</v>
      </c>
      <c r="G7" s="167">
        <v>25</v>
      </c>
      <c r="H7" s="167">
        <f>F7*G7</f>
        <v>2850</v>
      </c>
    </row>
    <row r="8" spans="1:8" ht="13.5" thickTop="1">
      <c r="A8" s="159" t="s">
        <v>113</v>
      </c>
      <c r="B8" s="160">
        <f>ROUND(NPV(B10,B7),0)</f>
        <v>91311</v>
      </c>
      <c r="C8" s="168">
        <f>ROUND(NPV(C10,C7),0)</f>
        <v>0</v>
      </c>
      <c r="D8"/>
      <c r="E8" s="165" t="s">
        <v>114</v>
      </c>
      <c r="F8" s="163">
        <f>SUM(F3:F7)</f>
        <v>2014</v>
      </c>
      <c r="G8" s="163"/>
      <c r="H8" s="163">
        <f>SUM(H3:H7)</f>
        <v>34850</v>
      </c>
    </row>
    <row r="9" spans="1:8" ht="12.75">
      <c r="A9" s="159" t="s">
        <v>115</v>
      </c>
      <c r="B9" s="168">
        <f>B8-B3</f>
        <v>-39835.59</v>
      </c>
      <c r="C9" s="168">
        <f>C8-C3</f>
        <v>-1718.94</v>
      </c>
      <c r="D9"/>
      <c r="E9" s="169" t="s">
        <v>116</v>
      </c>
      <c r="F9" s="170">
        <f>H8/F8</f>
        <v>17.3038728897716</v>
      </c>
      <c r="G9" s="171"/>
      <c r="H9" s="171"/>
    </row>
    <row r="10" spans="1:8" ht="12.75">
      <c r="A10" s="159" t="s">
        <v>117</v>
      </c>
      <c r="B10" s="172">
        <v>0.0773</v>
      </c>
      <c r="C10" s="172">
        <f>B10</f>
        <v>0.0773</v>
      </c>
      <c r="D10"/>
      <c r="E10"/>
      <c r="F10"/>
      <c r="G10"/>
      <c r="H10"/>
    </row>
    <row r="11" spans="1:8" ht="12.75">
      <c r="A11" s="159" t="s">
        <v>118</v>
      </c>
      <c r="B11" s="173">
        <v>0.15</v>
      </c>
      <c r="C11" s="173">
        <v>0.15</v>
      </c>
      <c r="D11"/>
      <c r="E11" s="194" t="s">
        <v>119</v>
      </c>
      <c r="F11" s="194"/>
      <c r="G11" s="194"/>
      <c r="H11" s="194"/>
    </row>
    <row r="12" spans="1:8" ht="13.5" thickBot="1">
      <c r="A12" s="174" t="s">
        <v>120</v>
      </c>
      <c r="B12" s="175">
        <f>B9*B11</f>
        <v>-5975.338499999999</v>
      </c>
      <c r="C12" s="175">
        <f>C9*C11</f>
        <v>-257.841</v>
      </c>
      <c r="D12"/>
      <c r="E12" s="158" t="s">
        <v>100</v>
      </c>
      <c r="F12" s="158" t="s">
        <v>101</v>
      </c>
      <c r="G12" s="158" t="s">
        <v>102</v>
      </c>
      <c r="H12" s="157" t="s">
        <v>103</v>
      </c>
    </row>
    <row r="13" spans="1:8" ht="14.25" thickBot="1" thickTop="1">
      <c r="A13" s="176" t="s">
        <v>121</v>
      </c>
      <c r="B13" s="177">
        <v>1191932.1254999998</v>
      </c>
      <c r="C13" s="177">
        <v>73218.26849999999</v>
      </c>
      <c r="D13"/>
      <c r="E13" s="161" t="s">
        <v>105</v>
      </c>
      <c r="F13" s="162">
        <v>100</v>
      </c>
      <c r="G13" s="162">
        <v>18</v>
      </c>
      <c r="H13" s="163">
        <f>F13*G13</f>
        <v>1800</v>
      </c>
    </row>
    <row r="14" spans="1:8" ht="12.75" customHeight="1" thickTop="1">
      <c r="A14" s="178" t="s">
        <v>122</v>
      </c>
      <c r="B14" s="179">
        <f>((759+1012+506+1012+1517+1265+759+1012)*0.1725)+((1265+759+506+1517)*0.13855)</f>
        <v>1913.45685</v>
      </c>
      <c r="C14" s="179">
        <f>((0+0+0+0+0+0+0+0)*0.1725)+((0+0+0+0)*0.13855)</f>
        <v>0</v>
      </c>
      <c r="D14"/>
      <c r="E14" s="165" t="s">
        <v>107</v>
      </c>
      <c r="F14" s="163">
        <v>10</v>
      </c>
      <c r="G14" s="163">
        <v>15</v>
      </c>
      <c r="H14" s="163">
        <f aca="true" t="shared" si="0" ref="H14:H20">F14*G14</f>
        <v>150</v>
      </c>
    </row>
    <row r="15" spans="1:8" ht="12" customHeight="1">
      <c r="A15"/>
      <c r="B15" s="11"/>
      <c r="C15"/>
      <c r="D15"/>
      <c r="E15" s="165" t="s">
        <v>109</v>
      </c>
      <c r="F15" s="163">
        <v>10</v>
      </c>
      <c r="G15" s="163">
        <v>13</v>
      </c>
      <c r="H15" s="163">
        <f t="shared" si="0"/>
        <v>130</v>
      </c>
    </row>
    <row r="16" spans="1:8" ht="12" customHeight="1">
      <c r="A16"/>
      <c r="B16" s="11"/>
      <c r="C16"/>
      <c r="D16"/>
      <c r="E16" s="165" t="s">
        <v>111</v>
      </c>
      <c r="F16" s="163">
        <v>5</v>
      </c>
      <c r="G16" s="163">
        <v>20</v>
      </c>
      <c r="H16" s="163">
        <f t="shared" si="0"/>
        <v>100</v>
      </c>
    </row>
    <row r="17" spans="1:8" ht="12" customHeight="1">
      <c r="A17"/>
      <c r="B17"/>
      <c r="C17"/>
      <c r="D17"/>
      <c r="E17" s="165" t="s">
        <v>123</v>
      </c>
      <c r="F17" s="163">
        <v>5</v>
      </c>
      <c r="G17" s="163">
        <v>8</v>
      </c>
      <c r="H17" s="163">
        <f t="shared" si="0"/>
        <v>40</v>
      </c>
    </row>
    <row r="18" spans="1:8" ht="12.75">
      <c r="A18" s="180"/>
      <c r="B18"/>
      <c r="C18"/>
      <c r="D18"/>
      <c r="E18" s="165" t="s">
        <v>124</v>
      </c>
      <c r="F18" s="163">
        <v>5</v>
      </c>
      <c r="G18" s="163">
        <v>12</v>
      </c>
      <c r="H18" s="163">
        <f t="shared" si="0"/>
        <v>60</v>
      </c>
    </row>
    <row r="19" spans="1:8" ht="12.75">
      <c r="A19" s="193" t="s">
        <v>125</v>
      </c>
      <c r="B19" s="193"/>
      <c r="C19" s="193"/>
      <c r="D19"/>
      <c r="E19" s="165" t="s">
        <v>126</v>
      </c>
      <c r="F19" s="163">
        <v>5</v>
      </c>
      <c r="G19" s="163">
        <v>10</v>
      </c>
      <c r="H19" s="163">
        <f t="shared" si="0"/>
        <v>50</v>
      </c>
    </row>
    <row r="20" spans="1:8" ht="13.5" thickBot="1">
      <c r="A20" s="193" t="s">
        <v>127</v>
      </c>
      <c r="B20" s="193"/>
      <c r="C20" s="193"/>
      <c r="D20"/>
      <c r="E20" s="165" t="s">
        <v>128</v>
      </c>
      <c r="F20" s="167">
        <v>5</v>
      </c>
      <c r="G20" s="167">
        <v>10</v>
      </c>
      <c r="H20" s="167">
        <f t="shared" si="0"/>
        <v>50</v>
      </c>
    </row>
    <row r="21" spans="1:8" ht="13.5" thickTop="1">
      <c r="A21" s="193" t="s">
        <v>129</v>
      </c>
      <c r="B21" s="193"/>
      <c r="C21" s="193"/>
      <c r="D21"/>
      <c r="E21" s="165" t="s">
        <v>114</v>
      </c>
      <c r="F21" s="163">
        <f>SUM(F13:F20)</f>
        <v>145</v>
      </c>
      <c r="G21" s="163"/>
      <c r="H21" s="163">
        <f>SUM(H13:H20)</f>
        <v>2380</v>
      </c>
    </row>
    <row r="22" spans="1:8" ht="12.75">
      <c r="A22" s="193" t="s">
        <v>130</v>
      </c>
      <c r="B22" s="193"/>
      <c r="C22" s="193"/>
      <c r="D22"/>
      <c r="E22" s="169" t="s">
        <v>116</v>
      </c>
      <c r="F22" s="170">
        <f>H21/F21</f>
        <v>16.413793103448278</v>
      </c>
      <c r="G22" s="171"/>
      <c r="H22" s="171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sheetProtection/>
  <mergeCells count="7">
    <mergeCell ref="A22:C22"/>
    <mergeCell ref="A1:C1"/>
    <mergeCell ref="E1:H1"/>
    <mergeCell ref="E11:H11"/>
    <mergeCell ref="A19:C19"/>
    <mergeCell ref="A20:C20"/>
    <mergeCell ref="A21:C21"/>
  </mergeCells>
  <printOptions/>
  <pageMargins left="0.7" right="0.7" top="0.75" bottom="0.75" header="0.3" footer="0.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D Croissant</dc:creator>
  <cp:keywords/>
  <dc:description/>
  <cp:lastModifiedBy>DanielE.Hinton</cp:lastModifiedBy>
  <dcterms:created xsi:type="dcterms:W3CDTF">2019-11-05T21:23:31Z</dcterms:created>
  <dcterms:modified xsi:type="dcterms:W3CDTF">2019-11-06T12:13:50Z</dcterms:modified>
  <cp:category/>
  <cp:version/>
  <cp:contentType/>
  <cp:contentStatus/>
</cp:coreProperties>
</file>