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DSM\2022\DSM Tariff Filing\"/>
    </mc:Choice>
  </mc:AlternateContent>
  <xr:revisionPtr revIDLastSave="0" documentId="13_ncr:1_{667010DF-77B5-4064-8132-8B9D14ECEE45}" xr6:coauthVersionLast="47" xr6:coauthVersionMax="47" xr10:uidLastSave="{00000000-0000-0000-0000-000000000000}"/>
  <bookViews>
    <workbookView xWindow="30315" yWindow="2595" windowWidth="21600" windowHeight="11385" firstSheet="1" activeTab="1" xr2:uid="{00000000-000D-0000-FFFF-FFFF00000000}"/>
  </bookViews>
  <sheets>
    <sheet name="_com.sap.ip.bi.xl.hiddensheet" sheetId="37" state="veryHidden" r:id="rId1"/>
    <sheet name="DLSA" sheetId="20" r:id="rId2"/>
    <sheet name="2022" sheetId="36" r:id="rId3"/>
    <sheet name="DSMRC Costs" sheetId="32" r:id="rId4"/>
    <sheet name="DIA + DLSA Revenue" sheetId="28" r:id="rId5"/>
  </sheets>
  <definedNames>
    <definedName name="____W.O.R.K.B.O.O.K..C.O.N.T.E.N.T.S____" localSheetId="2">#REF!</definedName>
    <definedName name="____W.O.R.K.B.O.O.K..C.O.N.T.E.N.T.S____">#REF!</definedName>
    <definedName name="_xlnm.Print_Area" localSheetId="2">'2022'!$A$1:$J$72</definedName>
    <definedName name="_xlnm.Print_Area" localSheetId="1">DLSA!$A$1:$G$77</definedName>
    <definedName name="_xlnm.Print_Area" localSheetId="3">'DSMRC Costs'!$A$1:$U$32</definedName>
    <definedName name="_xlnm.Print_Titles" localSheetId="2">'2022'!$1:$5</definedName>
    <definedName name="SAPCrosstab1" localSheetId="2">#REF!</definedName>
    <definedName name="SAPCrosstab1">#REF!</definedName>
    <definedName name="SAPCrosstab2">#REF!</definedName>
    <definedName name="SAPCrosstab3">#REF!</definedName>
    <definedName name="SAPCrosstab4">#REF!</definedName>
    <definedName name="SAPCrosstab5">#REF!</definedName>
    <definedName name="tbl_Interest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6" l="1"/>
  <c r="B14" i="28" l="1"/>
  <c r="B5" i="28"/>
  <c r="B4" i="28"/>
  <c r="B3" i="28"/>
  <c r="B7" i="28"/>
  <c r="B8" i="28"/>
  <c r="B9" i="28"/>
  <c r="B12" i="28"/>
  <c r="E25" i="36"/>
  <c r="N23" i="32"/>
  <c r="Y23" i="32"/>
  <c r="D21" i="36"/>
  <c r="V24" i="32"/>
  <c r="C28" i="20"/>
  <c r="E28" i="20"/>
  <c r="C10" i="28"/>
  <c r="C4" i="28"/>
  <c r="C7" i="28"/>
  <c r="C8" i="28"/>
  <c r="C9" i="28"/>
  <c r="C6" i="28"/>
  <c r="C3" i="28"/>
  <c r="B6" i="28"/>
  <c r="O24" i="32"/>
  <c r="O30" i="32"/>
  <c r="O29" i="32"/>
  <c r="O28" i="32"/>
  <c r="O27" i="32"/>
  <c r="O26" i="32"/>
  <c r="O25" i="32"/>
  <c r="O23" i="32"/>
  <c r="O31" i="32"/>
  <c r="O32" i="32"/>
  <c r="O22" i="32"/>
  <c r="O21" i="32"/>
  <c r="O20" i="32"/>
  <c r="O19" i="32"/>
  <c r="O16" i="32"/>
  <c r="O15" i="32"/>
  <c r="O14" i="32"/>
  <c r="O13" i="32"/>
  <c r="O12" i="32"/>
  <c r="O11" i="32"/>
  <c r="O10" i="32"/>
  <c r="O9" i="32"/>
  <c r="O8" i="32"/>
  <c r="O7" i="32"/>
  <c r="O6" i="32"/>
  <c r="O5" i="32"/>
  <c r="N30" i="32"/>
  <c r="N29" i="32"/>
  <c r="N28" i="32"/>
  <c r="N27" i="32"/>
  <c r="N26" i="32"/>
  <c r="N25" i="32"/>
  <c r="N24" i="32"/>
  <c r="N22" i="32"/>
  <c r="N21" i="32"/>
  <c r="N20" i="32"/>
  <c r="N19" i="32"/>
  <c r="N16" i="32"/>
  <c r="N15" i="32"/>
  <c r="N14" i="32"/>
  <c r="N13" i="32"/>
  <c r="N12" i="32"/>
  <c r="N11" i="32"/>
  <c r="N10" i="32"/>
  <c r="N9" i="32"/>
  <c r="N8" i="32"/>
  <c r="N7" i="32"/>
  <c r="N6" i="32"/>
  <c r="N5" i="32"/>
  <c r="B31" i="32"/>
  <c r="F50" i="36"/>
  <c r="D50" i="36"/>
  <c r="I22" i="36"/>
  <c r="I23" i="36"/>
  <c r="I24" i="36"/>
  <c r="H14" i="36"/>
  <c r="J14" i="36"/>
  <c r="H16" i="36"/>
  <c r="J16" i="36"/>
  <c r="E50" i="20"/>
  <c r="E51" i="20"/>
  <c r="E52" i="20"/>
  <c r="E53" i="20"/>
  <c r="C50" i="20"/>
  <c r="C51" i="20"/>
  <c r="C52" i="20"/>
  <c r="C53" i="20"/>
  <c r="B50" i="20"/>
  <c r="B51" i="20"/>
  <c r="B52" i="20"/>
  <c r="B53" i="20"/>
  <c r="C30" i="20"/>
  <c r="E30" i="20"/>
  <c r="B27" i="20"/>
  <c r="B28" i="20"/>
  <c r="B29" i="20"/>
  <c r="B30" i="20"/>
  <c r="D58" i="36"/>
  <c r="D59" i="36"/>
  <c r="D60" i="36"/>
  <c r="D61" i="36"/>
  <c r="E64" i="36"/>
  <c r="F58" i="36"/>
  <c r="F21" i="28"/>
  <c r="H20" i="28"/>
  <c r="H19" i="28"/>
  <c r="H18" i="28"/>
  <c r="H17" i="28"/>
  <c r="H16" i="28"/>
  <c r="H15" i="28"/>
  <c r="H14" i="28"/>
  <c r="C14" i="28"/>
  <c r="H13" i="28"/>
  <c r="H21" i="28"/>
  <c r="F22" i="28"/>
  <c r="C12" i="28"/>
  <c r="E62" i="36"/>
  <c r="F8" i="28"/>
  <c r="H7" i="28"/>
  <c r="H6" i="28"/>
  <c r="H5" i="28"/>
  <c r="H4" i="28"/>
  <c r="H3" i="28"/>
  <c r="B17" i="32"/>
  <c r="B18" i="32"/>
  <c r="C17" i="32"/>
  <c r="C18" i="32"/>
  <c r="C32" i="32"/>
  <c r="D17" i="32"/>
  <c r="D18" i="32"/>
  <c r="E17" i="32"/>
  <c r="E18" i="32"/>
  <c r="E32" i="32"/>
  <c r="F17" i="32"/>
  <c r="F18" i="32"/>
  <c r="G17" i="32"/>
  <c r="G18" i="32"/>
  <c r="G32" i="32"/>
  <c r="H17" i="32"/>
  <c r="H18" i="32"/>
  <c r="H32" i="32"/>
  <c r="I17" i="32"/>
  <c r="J17" i="32"/>
  <c r="J18" i="32"/>
  <c r="K17" i="32"/>
  <c r="K18" i="32"/>
  <c r="L17" i="32"/>
  <c r="L18" i="32"/>
  <c r="M17" i="32"/>
  <c r="M18" i="32"/>
  <c r="O17" i="32"/>
  <c r="O18" i="32"/>
  <c r="P17" i="32"/>
  <c r="P18" i="32"/>
  <c r="Q17" i="32"/>
  <c r="Q18" i="32"/>
  <c r="Q32" i="32"/>
  <c r="R17" i="32"/>
  <c r="R18" i="32"/>
  <c r="S17" i="32"/>
  <c r="S18" i="32"/>
  <c r="T17" i="32"/>
  <c r="T18" i="32"/>
  <c r="U17" i="32"/>
  <c r="U18" i="32"/>
  <c r="I18" i="32"/>
  <c r="I32" i="32"/>
  <c r="N31" i="32"/>
  <c r="C31" i="32"/>
  <c r="D31" i="32"/>
  <c r="E31" i="32"/>
  <c r="F31" i="32"/>
  <c r="G31" i="32"/>
  <c r="H31" i="32"/>
  <c r="I31" i="32"/>
  <c r="J31" i="32"/>
  <c r="J32" i="32"/>
  <c r="K31" i="32"/>
  <c r="K32" i="32"/>
  <c r="L31" i="32"/>
  <c r="L32" i="32"/>
  <c r="M31" i="32"/>
  <c r="P31" i="32"/>
  <c r="P32" i="32"/>
  <c r="Q31" i="32"/>
  <c r="R31" i="32"/>
  <c r="S31" i="32"/>
  <c r="S32" i="32"/>
  <c r="T31" i="32"/>
  <c r="T32" i="32"/>
  <c r="U31" i="32"/>
  <c r="U32" i="32"/>
  <c r="Y5" i="32"/>
  <c r="Y6" i="32"/>
  <c r="Y7" i="32"/>
  <c r="Y8" i="32"/>
  <c r="Y9" i="32"/>
  <c r="Y10" i="32"/>
  <c r="Y11" i="32"/>
  <c r="Y12" i="32"/>
  <c r="Y13" i="32"/>
  <c r="Y14" i="32"/>
  <c r="D14" i="36"/>
  <c r="Y15" i="32"/>
  <c r="D15" i="36"/>
  <c r="D25" i="36"/>
  <c r="Y16" i="32"/>
  <c r="D16" i="36"/>
  <c r="W20" i="32"/>
  <c r="V20" i="32"/>
  <c r="C24" i="20"/>
  <c r="E24" i="20"/>
  <c r="Y20" i="32"/>
  <c r="D18" i="36"/>
  <c r="X20" i="32"/>
  <c r="Z20" i="32"/>
  <c r="Y21" i="32"/>
  <c r="D19" i="36"/>
  <c r="Y22" i="32"/>
  <c r="D20" i="36"/>
  <c r="Y24" i="32"/>
  <c r="D22" i="36"/>
  <c r="Y25" i="32"/>
  <c r="D23" i="36"/>
  <c r="Y26" i="32"/>
  <c r="D24" i="36"/>
  <c r="Y27" i="32"/>
  <c r="Y28" i="32"/>
  <c r="Y29" i="32"/>
  <c r="Y30" i="32"/>
  <c r="Y19" i="32"/>
  <c r="D17" i="36"/>
  <c r="AA30" i="32"/>
  <c r="X30" i="32"/>
  <c r="Z30" i="32"/>
  <c r="W30" i="32"/>
  <c r="V30" i="32"/>
  <c r="AA29" i="32"/>
  <c r="X29" i="32"/>
  <c r="Z29" i="32"/>
  <c r="W29" i="32"/>
  <c r="V29" i="32"/>
  <c r="AA28" i="32"/>
  <c r="X28" i="32"/>
  <c r="Z28" i="32"/>
  <c r="W28" i="32"/>
  <c r="V28" i="32"/>
  <c r="AA27" i="32"/>
  <c r="X27" i="32"/>
  <c r="W27" i="32"/>
  <c r="V27" i="32"/>
  <c r="AA26" i="32"/>
  <c r="X26" i="32"/>
  <c r="Z26" i="32"/>
  <c r="W26" i="32"/>
  <c r="V26" i="32"/>
  <c r="AA25" i="32"/>
  <c r="X25" i="32"/>
  <c r="Z25" i="32"/>
  <c r="W25" i="32"/>
  <c r="V25" i="32"/>
  <c r="C29" i="20"/>
  <c r="E29" i="20"/>
  <c r="AA24" i="32"/>
  <c r="X24" i="32"/>
  <c r="Z24" i="32"/>
  <c r="W24" i="32"/>
  <c r="AA23" i="32"/>
  <c r="X23" i="32"/>
  <c r="Z23" i="32"/>
  <c r="W23" i="32"/>
  <c r="V23" i="32"/>
  <c r="C27" i="20"/>
  <c r="E27" i="20"/>
  <c r="AA22" i="32"/>
  <c r="D57" i="36"/>
  <c r="X22" i="32"/>
  <c r="W22" i="32"/>
  <c r="C49" i="20"/>
  <c r="E49" i="20"/>
  <c r="V22" i="32"/>
  <c r="C26" i="20"/>
  <c r="E26" i="20"/>
  <c r="AA21" i="32"/>
  <c r="D56" i="36"/>
  <c r="X21" i="32"/>
  <c r="Z21" i="32"/>
  <c r="W21" i="32"/>
  <c r="C48" i="20"/>
  <c r="E48" i="20"/>
  <c r="V21" i="32"/>
  <c r="C25" i="20"/>
  <c r="E25" i="20"/>
  <c r="AA20" i="32"/>
  <c r="D55" i="36"/>
  <c r="C47" i="20"/>
  <c r="E47" i="20"/>
  <c r="AA19" i="32"/>
  <c r="D54" i="36"/>
  <c r="X19" i="32"/>
  <c r="W19" i="32"/>
  <c r="C46" i="20"/>
  <c r="E46" i="20"/>
  <c r="V19" i="32"/>
  <c r="C23" i="20"/>
  <c r="E23" i="20"/>
  <c r="B50" i="36"/>
  <c r="B14" i="36"/>
  <c r="B15" i="36"/>
  <c r="AA16" i="32"/>
  <c r="D53" i="36"/>
  <c r="F53" i="36"/>
  <c r="AA15" i="32"/>
  <c r="D52" i="36"/>
  <c r="AA14" i="32"/>
  <c r="D51" i="36"/>
  <c r="AA13" i="32"/>
  <c r="AA12" i="32"/>
  <c r="AA11" i="32"/>
  <c r="AA10" i="32"/>
  <c r="AA9" i="32"/>
  <c r="AA8" i="32"/>
  <c r="AA7" i="32"/>
  <c r="AA6" i="32"/>
  <c r="AA5" i="32"/>
  <c r="X16" i="32"/>
  <c r="X15" i="32"/>
  <c r="X14" i="32"/>
  <c r="Z14" i="32"/>
  <c r="X13" i="32"/>
  <c r="X12" i="32"/>
  <c r="Z12" i="32"/>
  <c r="X11" i="32"/>
  <c r="X10" i="32"/>
  <c r="Z10" i="32"/>
  <c r="X8" i="32"/>
  <c r="X7" i="32"/>
  <c r="Z7" i="32"/>
  <c r="X6" i="32"/>
  <c r="Z6" i="32"/>
  <c r="X5" i="32"/>
  <c r="Z5" i="32"/>
  <c r="W16" i="32"/>
  <c r="C45" i="20"/>
  <c r="E45" i="20"/>
  <c r="W15" i="32"/>
  <c r="C44" i="20"/>
  <c r="E44" i="20"/>
  <c r="W14" i="32"/>
  <c r="C43" i="20"/>
  <c r="E43" i="20"/>
  <c r="E54" i="20"/>
  <c r="W13" i="32"/>
  <c r="C42" i="20"/>
  <c r="E42" i="20"/>
  <c r="W12" i="32"/>
  <c r="W11" i="32"/>
  <c r="W10" i="32"/>
  <c r="W9" i="32"/>
  <c r="W8" i="32"/>
  <c r="W7" i="32"/>
  <c r="W6" i="32"/>
  <c r="W5" i="32"/>
  <c r="V16" i="32"/>
  <c r="C22" i="20"/>
  <c r="E22" i="20"/>
  <c r="V15" i="32"/>
  <c r="C21" i="20"/>
  <c r="E21" i="20"/>
  <c r="V14" i="32"/>
  <c r="C20" i="20"/>
  <c r="E20" i="20"/>
  <c r="V13" i="32"/>
  <c r="E19" i="20"/>
  <c r="V12" i="32"/>
  <c r="V11" i="32"/>
  <c r="V10" i="32"/>
  <c r="V9" i="32"/>
  <c r="V8" i="32"/>
  <c r="V7" i="32"/>
  <c r="V6" i="32"/>
  <c r="V5" i="32"/>
  <c r="B42" i="20"/>
  <c r="B20" i="20"/>
  <c r="B21" i="20"/>
  <c r="Z19" i="32"/>
  <c r="F32" i="32"/>
  <c r="Z22" i="32"/>
  <c r="M32" i="32"/>
  <c r="Z15" i="32"/>
  <c r="Z27" i="32"/>
  <c r="B32" i="32"/>
  <c r="H8" i="28"/>
  <c r="F9" i="28"/>
  <c r="F38" i="36"/>
  <c r="R32" i="32"/>
  <c r="B22" i="20"/>
  <c r="B44" i="20"/>
  <c r="B43" i="20"/>
  <c r="B23" i="20"/>
  <c r="B45" i="20"/>
  <c r="B46" i="20"/>
  <c r="B24" i="20"/>
  <c r="B47" i="20"/>
  <c r="B25" i="20"/>
  <c r="B26" i="20"/>
  <c r="B49" i="20"/>
  <c r="B48" i="20"/>
  <c r="Z8" i="32"/>
  <c r="Z13" i="32"/>
  <c r="Z16" i="32"/>
  <c r="D32" i="32"/>
  <c r="F61" i="36"/>
  <c r="H19" i="36"/>
  <c r="J19" i="36"/>
  <c r="H18" i="36"/>
  <c r="J18" i="36"/>
  <c r="F51" i="36"/>
  <c r="H15" i="36"/>
  <c r="J15" i="36"/>
  <c r="E56" i="20"/>
  <c r="E58" i="20"/>
  <c r="F55" i="36"/>
  <c r="F54" i="36"/>
  <c r="F56" i="36"/>
  <c r="H17" i="36"/>
  <c r="J17" i="36"/>
  <c r="H23" i="36"/>
  <c r="J23" i="36"/>
  <c r="H24" i="36"/>
  <c r="H22" i="36"/>
  <c r="J22" i="36"/>
  <c r="H21" i="36"/>
  <c r="J21" i="36"/>
  <c r="H20" i="36"/>
  <c r="J20" i="36"/>
  <c r="H13" i="36"/>
  <c r="J13" i="36"/>
  <c r="Z11" i="32"/>
  <c r="N17" i="32"/>
  <c r="N18" i="32"/>
  <c r="N32" i="32"/>
  <c r="X9" i="32"/>
  <c r="Z9" i="32"/>
  <c r="F57" i="36"/>
  <c r="F52" i="36"/>
  <c r="F60" i="36"/>
  <c r="D62" i="36"/>
  <c r="C25" i="36"/>
  <c r="C62" i="36"/>
  <c r="J24" i="36"/>
  <c r="G25" i="36"/>
  <c r="E22" i="36"/>
  <c r="F22" i="36"/>
  <c r="B16" i="36"/>
  <c r="B52" i="36"/>
  <c r="E20" i="36"/>
  <c r="F20" i="36"/>
  <c r="E23" i="36"/>
  <c r="F23" i="36"/>
  <c r="E18" i="36"/>
  <c r="F18" i="36"/>
  <c r="E21" i="36"/>
  <c r="F21" i="36"/>
  <c r="E13" i="36"/>
  <c r="F13" i="36"/>
  <c r="F59" i="36"/>
  <c r="F62" i="36"/>
  <c r="F64" i="36" s="1"/>
  <c r="B51" i="36"/>
  <c r="E31" i="20"/>
  <c r="E33" i="20"/>
  <c r="E35" i="20"/>
  <c r="F36" i="36"/>
  <c r="E14" i="36"/>
  <c r="F14" i="36"/>
  <c r="E19" i="36"/>
  <c r="F19" i="36"/>
  <c r="E15" i="36"/>
  <c r="F15" i="36"/>
  <c r="F30" i="36"/>
  <c r="F34" i="36"/>
  <c r="E16" i="36"/>
  <c r="F16" i="36"/>
  <c r="E17" i="36"/>
  <c r="F17" i="36"/>
  <c r="E24" i="36"/>
  <c r="F24" i="36"/>
  <c r="B53" i="36"/>
  <c r="B17" i="36"/>
  <c r="F27" i="36"/>
  <c r="B54" i="36"/>
  <c r="B18" i="36"/>
  <c r="B19" i="36"/>
  <c r="B55" i="36"/>
  <c r="B56" i="36"/>
  <c r="B20" i="36"/>
  <c r="B57" i="36"/>
  <c r="B21" i="36"/>
  <c r="B58" i="36"/>
  <c r="B22" i="36"/>
  <c r="B59" i="36"/>
  <c r="B23" i="36"/>
  <c r="B60" i="36"/>
  <c r="B24" i="36"/>
  <c r="A27" i="36"/>
  <c r="A64" i="36"/>
  <c r="B61" i="36"/>
  <c r="F65" i="36" l="1"/>
  <c r="F28" i="36"/>
  <c r="F32" i="36" s="1"/>
  <c r="F40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Matheny, Leonard R.</author>
    <author>Mark  Martin</author>
  </authors>
  <commentList>
    <comment ref="E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Data taken from 2014 DSM Application Schedule A tab.</t>
        </r>
      </text>
    </comment>
    <comment ref="A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Matheny, Leonard R.:</t>
        </r>
        <r>
          <rPr>
            <sz val="9"/>
            <color indexed="81"/>
            <rFont val="Tahoma"/>
            <family val="2"/>
          </rPr>
          <t xml:space="preserve">
Atmos Cares Report "Total" Tab.</t>
        </r>
      </text>
    </comment>
    <comment ref="A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2017 DSM Application, Schedule C tab.</t>
        </r>
      </text>
    </comment>
    <comment ref="A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Matheny, Leonard R.:</t>
        </r>
        <r>
          <rPr>
            <sz val="9"/>
            <color indexed="81"/>
            <rFont val="Tahoma"/>
            <family val="2"/>
          </rPr>
          <t xml:space="preserve">
Atmos Cares Report "Total" Tab.</t>
        </r>
      </text>
    </comment>
    <comment ref="A1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2017 DSM Application Atmos Variable Data tab, Cell G53.</t>
        </r>
      </text>
    </comment>
    <comment ref="A1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2014 DSM Application, Billing Factor 2015 tab.</t>
        </r>
      </text>
    </comment>
    <comment ref="E11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Data taken from 2014 DSM Application Schedule A tab.</t>
        </r>
      </text>
    </comment>
    <comment ref="B14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Mark  Martin:</t>
        </r>
        <r>
          <rPr>
            <sz val="9"/>
            <color indexed="81"/>
            <rFont val="Tahoma"/>
            <family val="2"/>
          </rPr>
          <t xml:space="preserve">
Add up CCF savings from Atmos Cares report and multiply by margin.  Either add Columns C &amp; G or subtract Columns O &amp; R. Since Column R was all zero for the period, just use Column O.</t>
        </r>
      </text>
    </comment>
    <comment ref="C14" authorId="1" shapeId="0" xr:uid="{00000000-0006-0000-0700-000009000000}">
      <text>
        <r>
          <rPr>
            <b/>
            <sz val="9"/>
            <color indexed="81"/>
            <rFont val="Tahoma"/>
            <family val="2"/>
          </rPr>
          <t>Mark  Martin:</t>
        </r>
        <r>
          <rPr>
            <sz val="9"/>
            <color indexed="81"/>
            <rFont val="Tahoma"/>
            <family val="2"/>
          </rPr>
          <t xml:space="preserve">
Add up CCF savings from Atmos Cares report in column R and multiply by margin.  </t>
        </r>
      </text>
    </comment>
  </commentList>
</comments>
</file>

<file path=xl/sharedStrings.xml><?xml version="1.0" encoding="utf-8"?>
<sst xmlns="http://schemas.openxmlformats.org/spreadsheetml/2006/main" count="183" uniqueCount="121">
  <si>
    <t>Recoveries</t>
  </si>
  <si>
    <t>DSM Balancing Adjustment</t>
  </si>
  <si>
    <t>DSMRC</t>
  </si>
  <si>
    <t>Costs</t>
  </si>
  <si>
    <t>Balance</t>
  </si>
  <si>
    <t>Under/(Over)</t>
  </si>
  <si>
    <t>Previous DBA Balancing Adjustment</t>
  </si>
  <si>
    <t>Atmos Energy Corporation</t>
  </si>
  <si>
    <t>Residential</t>
  </si>
  <si>
    <t>Sales</t>
  </si>
  <si>
    <t>(Mcf)</t>
  </si>
  <si>
    <t>DSMRC Residential Rate G-1</t>
  </si>
  <si>
    <t>Month</t>
  </si>
  <si>
    <t xml:space="preserve">Annual Expected Residential Sales (Mcf) </t>
  </si>
  <si>
    <t>Billed</t>
  </si>
  <si>
    <t>Rate</t>
  </si>
  <si>
    <t>Filed</t>
  </si>
  <si>
    <t>Difference</t>
  </si>
  <si>
    <t>Kentucky/Mid-States Division</t>
  </si>
  <si>
    <t>DSMRC = DCRC + DLSA + DIA + DBA</t>
  </si>
  <si>
    <t>DLSA = DSM Lost Sales Adjustment</t>
  </si>
  <si>
    <t>DCRC = DSM Cost Recovery - Current</t>
  </si>
  <si>
    <t>DIA = DSM Incentive Adjustment</t>
  </si>
  <si>
    <t>DBA = DSM Balancing Adjustment</t>
  </si>
  <si>
    <t>ATMOS ENERGY CORPORATION</t>
  </si>
  <si>
    <t>(a)</t>
  </si>
  <si>
    <t>(b)</t>
  </si>
  <si>
    <t>(c)</t>
  </si>
  <si>
    <t>(d)</t>
  </si>
  <si>
    <t>(e)</t>
  </si>
  <si>
    <t>(f)</t>
  </si>
  <si>
    <t>(g)</t>
  </si>
  <si>
    <t>Demand Side Management</t>
  </si>
  <si>
    <t>Lost Sales Adjustment (DLSA) Calculation</t>
  </si>
  <si>
    <t>Overview</t>
  </si>
  <si>
    <t>Line</t>
  </si>
  <si>
    <t>Ccf Savings</t>
  </si>
  <si>
    <t>Distribution Charge</t>
  </si>
  <si>
    <t>Lost Sales</t>
  </si>
  <si>
    <t xml:space="preserve">Total </t>
  </si>
  <si>
    <t>DLSA (per Mcf)</t>
  </si>
  <si>
    <t>(h)</t>
  </si>
  <si>
    <t>Revenue</t>
  </si>
  <si>
    <t>Commercial</t>
  </si>
  <si>
    <t>DIA + DLSA</t>
  </si>
  <si>
    <t>Total Residential DSMRC Balance</t>
  </si>
  <si>
    <t>Total Commercial DSMRC Balance</t>
  </si>
  <si>
    <t xml:space="preserve">Annual Expected Commercial Sales (Mcf) </t>
  </si>
  <si>
    <t>G-1 Residential</t>
  </si>
  <si>
    <t>G-1 Commercial</t>
  </si>
  <si>
    <t>G-1 Residental</t>
  </si>
  <si>
    <t>To effectively promote and execute the program, the Company shall recover the annual lost sales attributable</t>
  </si>
  <si>
    <t xml:space="preserve">to customer conservation/efficiency created as a result of the Program. This aligns the Company’s interest </t>
  </si>
  <si>
    <t xml:space="preserve">with that of its customers by reducing the correlation between volume and revenue for those customers who </t>
  </si>
  <si>
    <t xml:space="preserve">elect to participate in the program. The lost sales are the estimated conservation, per participant, times the </t>
  </si>
  <si>
    <t>base rate for the applicable customer. The goal is to make the Company whole for promoting the program.</t>
  </si>
  <si>
    <t>Lost sales are based on the cumulative lost sales since the program inception and will reset when the Company</t>
  </si>
  <si>
    <t>completes a general rate case.</t>
  </si>
  <si>
    <t>Residential Measure Life Weighted Average</t>
  </si>
  <si>
    <t>Factors</t>
  </si>
  <si>
    <t>Measure</t>
  </si>
  <si>
    <t># of Units</t>
  </si>
  <si>
    <t>Years</t>
  </si>
  <si>
    <t>Total</t>
  </si>
  <si>
    <t>Program Costs</t>
  </si>
  <si>
    <t>Furnaces</t>
  </si>
  <si>
    <t>Ccf Rate</t>
  </si>
  <si>
    <t>Thermostats</t>
  </si>
  <si>
    <t>Ccf Saved</t>
  </si>
  <si>
    <t>Tank Water Heaters</t>
  </si>
  <si>
    <t>Measure Life</t>
  </si>
  <si>
    <t>Tankless Water Heaters</t>
  </si>
  <si>
    <t>Commodity Savings</t>
  </si>
  <si>
    <t>Weatherization</t>
  </si>
  <si>
    <t>Present Value CS</t>
  </si>
  <si>
    <t>Totals</t>
  </si>
  <si>
    <t>Program Benefit</t>
  </si>
  <si>
    <t>Weighted Average</t>
  </si>
  <si>
    <t>Discount Rate</t>
  </si>
  <si>
    <t>Incentive</t>
  </si>
  <si>
    <t>Commercial Measure Life Weighted Average</t>
  </si>
  <si>
    <t>Annual DSM Incentive Adjustment</t>
  </si>
  <si>
    <t>Cumulative DSM Incentive Adjustment</t>
  </si>
  <si>
    <t>DSM Lost Sales Adjustment</t>
  </si>
  <si>
    <t>Commercial Fryer</t>
  </si>
  <si>
    <t>Commercial Griddle</t>
  </si>
  <si>
    <t>Commercial Oven</t>
  </si>
  <si>
    <t>Commercial Steamer</t>
  </si>
  <si>
    <t>ATMOS CARES ANNUAL TOTALS</t>
  </si>
  <si>
    <t>Residential Rebates</t>
  </si>
  <si>
    <t>Education</t>
  </si>
  <si>
    <t>Monthly Totals</t>
  </si>
  <si>
    <t>Commercial Rebates</t>
  </si>
  <si>
    <t>Payment Month</t>
  </si>
  <si>
    <t>Expenses</t>
  </si>
  <si>
    <t>Houses</t>
  </si>
  <si>
    <t>Rebate Expenses</t>
  </si>
  <si>
    <t>Rebates Issued</t>
  </si>
  <si>
    <t>Promo &amp; Misc.</t>
  </si>
  <si>
    <t>Qtly. Fees</t>
  </si>
  <si>
    <t>Presentations</t>
  </si>
  <si>
    <t># of Students</t>
  </si>
  <si>
    <t>Expenditures</t>
  </si>
  <si>
    <t>Residential Ccf</t>
  </si>
  <si>
    <t>Commercial Ccf</t>
  </si>
  <si>
    <t>Commerical Expenditures</t>
  </si>
  <si>
    <t>Cum. Totals</t>
  </si>
  <si>
    <t>Residential Expenditures - Education Expense - Commerical Expenditures</t>
  </si>
  <si>
    <t>Residential Expenditures - Commerical Expenditures</t>
  </si>
  <si>
    <t>2021 Totals</t>
  </si>
  <si>
    <t>DSM Incentive Adjustment 9/1/2020 - 8/31/2021</t>
  </si>
  <si>
    <t>To Be Effective January 1, 2023</t>
  </si>
  <si>
    <t>2022 Totals</t>
  </si>
  <si>
    <t>Cell B3 = Atmos Cares Report tab "Total" Column N Sep21-Aug22</t>
  </si>
  <si>
    <t>Cell C3 = Atmos Cares Report "Total" tab Column U Sep21-Aug22</t>
  </si>
  <si>
    <t>Cell B5 = Atmos Cares Report tab "Total" Column O Sep21-Aug22</t>
  </si>
  <si>
    <t>Cell C5 = Atmos Cares Report "Total" tab Column R Sep21-Aug22</t>
  </si>
  <si>
    <t>*</t>
  </si>
  <si>
    <t xml:space="preserve">Therefore, a Commercial Balancing Adjustment is not being calculated in this filing to be effective January 1, 2023.  </t>
  </si>
  <si>
    <t>* In its recent Application to Extend the DSM Program through July 30, 2026 (Case No 2022-00343),</t>
  </si>
  <si>
    <t xml:space="preserve">Atmos is proposing to recover the remaining DMRC balance as of December 31,2022 in its GCA filing effective May 1, 2023.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</si>
</sst>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7" formatCode="#,##0.0000_);\(#,##0.0000\)"/>
    <numFmt numFmtId="168" formatCode="#,##0.0000_);[Red]\(#,##0.0000\)"/>
    <numFmt numFmtId="169" formatCode="[$-409]mmm\-yy;@"/>
    <numFmt numFmtId="170" formatCode="&quot;$&quot;#,##0.0000_);\(&quot;$&quot;#,##0.0000\)"/>
    <numFmt numFmtId="171" formatCode="_(* #,##0.0000_);_(* \(#,##0.0000\);_(* &quot;-&quot;??_);_(@_)"/>
    <numFmt numFmtId="172" formatCode="###,000"/>
    <numFmt numFmtId="173" formatCode="#,##0.00;\-#,##0.00;#,##0.00"/>
    <numFmt numFmtId="174" formatCode="_(&quot;$&quot;* #,##0.000_);_(&quot;$&quot;* \(#,##0.000\);_(&quot;$&quot;* &quot;-&quot;???_);_(@_)"/>
    <numFmt numFmtId="175" formatCode="0.0"/>
    <numFmt numFmtId="177" formatCode="&quot;$&quot;#,##0.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33CC33"/>
      <name val="Verdana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sz val="8"/>
      <color rgb="FFDBE5F1"/>
      <name val="Verdana"/>
      <family val="2"/>
    </font>
    <font>
      <b/>
      <i/>
      <sz val="12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DBE5F2"/>
        <bgColor rgb="FF000000"/>
      </patternFill>
    </fill>
    <fill>
      <patternFill patternType="solid">
        <fgColor rgb="FFC6EFCE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42">
    <xf numFmtId="0" fontId="0" fillId="0" borderId="0"/>
    <xf numFmtId="43" fontId="8" fillId="0" borderId="0" applyFont="0" applyFill="0" applyBorder="0" applyAlignment="0" applyProtection="0"/>
    <xf numFmtId="0" fontId="14" fillId="0" borderId="0">
      <alignment horizontal="left" vertical="center" indent="1"/>
    </xf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>
      <alignment vertical="center"/>
    </xf>
    <xf numFmtId="0" fontId="19" fillId="0" borderId="4" applyNumberFormat="0" applyFont="0" applyFill="0" applyAlignment="0" applyProtection="0"/>
    <xf numFmtId="172" fontId="20" fillId="0" borderId="5" applyNumberFormat="0" applyAlignment="0" applyProtection="0">
      <alignment horizontal="right" vertical="center" indent="1"/>
    </xf>
    <xf numFmtId="172" fontId="21" fillId="2" borderId="6" applyNumberFormat="0" applyAlignment="0" applyProtection="0">
      <alignment horizontal="right" vertical="center" indent="1"/>
    </xf>
    <xf numFmtId="0" fontId="21" fillId="3" borderId="7" applyNumberFormat="0" applyAlignment="0" applyProtection="0">
      <alignment horizontal="left" vertical="center" indent="1"/>
    </xf>
    <xf numFmtId="172" fontId="20" fillId="4" borderId="7" applyNumberFormat="0" applyAlignment="0" applyProtection="0">
      <alignment horizontal="left" vertical="center" indent="1"/>
    </xf>
    <xf numFmtId="0" fontId="20" fillId="4" borderId="7" applyNumberFormat="0" applyAlignment="0" applyProtection="0">
      <alignment horizontal="left" vertical="center" indent="1"/>
    </xf>
    <xf numFmtId="0" fontId="22" fillId="0" borderId="8" applyNumberFormat="0" applyFill="0" applyBorder="0" applyAlignment="0" applyProtection="0"/>
    <xf numFmtId="172" fontId="23" fillId="5" borderId="9" applyNumberFormat="0" applyBorder="0" applyAlignment="0" applyProtection="0">
      <alignment horizontal="right" vertical="center" indent="1"/>
    </xf>
    <xf numFmtId="172" fontId="23" fillId="6" borderId="9" applyNumberFormat="0" applyBorder="0" applyAlignment="0" applyProtection="0">
      <alignment horizontal="right" vertical="center" indent="1"/>
    </xf>
    <xf numFmtId="172" fontId="23" fillId="7" borderId="9" applyNumberFormat="0" applyBorder="0" applyAlignment="0" applyProtection="0">
      <alignment horizontal="right" vertical="center" indent="1"/>
    </xf>
    <xf numFmtId="172" fontId="24" fillId="8" borderId="9" applyNumberFormat="0" applyBorder="0" applyAlignment="0" applyProtection="0">
      <alignment horizontal="right" vertical="center" indent="1"/>
    </xf>
    <xf numFmtId="172" fontId="24" fillId="9" borderId="9" applyNumberFormat="0" applyBorder="0" applyAlignment="0" applyProtection="0">
      <alignment horizontal="right" vertical="center" indent="1"/>
    </xf>
    <xf numFmtId="172" fontId="24" fillId="10" borderId="9" applyNumberFormat="0" applyBorder="0" applyAlignment="0" applyProtection="0">
      <alignment horizontal="right" vertical="center" indent="1"/>
    </xf>
    <xf numFmtId="172" fontId="25" fillId="11" borderId="9" applyNumberFormat="0" applyBorder="0" applyAlignment="0" applyProtection="0">
      <alignment horizontal="right" vertical="center" indent="1"/>
    </xf>
    <xf numFmtId="172" fontId="25" fillId="12" borderId="9" applyNumberFormat="0" applyBorder="0" applyAlignment="0" applyProtection="0">
      <alignment horizontal="right" vertical="center" indent="1"/>
    </xf>
    <xf numFmtId="172" fontId="25" fillId="13" borderId="9" applyNumberFormat="0" applyBorder="0" applyAlignment="0" applyProtection="0">
      <alignment horizontal="right" vertical="center" indent="1"/>
    </xf>
    <xf numFmtId="0" fontId="20" fillId="3" borderId="6" applyNumberFormat="0" applyAlignment="0" applyProtection="0">
      <alignment horizontal="left" vertical="center" indent="1"/>
    </xf>
    <xf numFmtId="0" fontId="20" fillId="14" borderId="7" applyNumberFormat="0" applyAlignment="0" applyProtection="0">
      <alignment horizontal="left" vertical="center" indent="1"/>
    </xf>
    <xf numFmtId="0" fontId="20" fillId="15" borderId="7" applyNumberFormat="0" applyAlignment="0" applyProtection="0">
      <alignment horizontal="left" vertical="center" indent="1"/>
    </xf>
    <xf numFmtId="0" fontId="20" fillId="16" borderId="7" applyNumberFormat="0" applyAlignment="0" applyProtection="0">
      <alignment horizontal="left" vertical="center" indent="1"/>
    </xf>
    <xf numFmtId="0" fontId="20" fillId="17" borderId="7" applyNumberFormat="0" applyAlignment="0" applyProtection="0">
      <alignment horizontal="left" vertical="center" indent="1"/>
    </xf>
    <xf numFmtId="0" fontId="20" fillId="18" borderId="7" applyNumberFormat="0" applyAlignment="0" applyProtection="0">
      <alignment horizontal="left" vertical="center" indent="1"/>
    </xf>
    <xf numFmtId="0" fontId="20" fillId="19" borderId="6" applyNumberFormat="0" applyAlignment="0" applyProtection="0">
      <alignment horizontal="left" vertical="center" indent="1"/>
    </xf>
    <xf numFmtId="172" fontId="20" fillId="20" borderId="5" applyNumberFormat="0" applyBorder="0" applyAlignment="0" applyProtection="0">
      <alignment horizontal="right" vertical="center" indent="1"/>
    </xf>
    <xf numFmtId="172" fontId="21" fillId="20" borderId="6" applyNumberFormat="0" applyAlignment="0" applyProtection="0">
      <alignment horizontal="right" vertical="center" indent="1"/>
    </xf>
    <xf numFmtId="172" fontId="20" fillId="3" borderId="4" applyNumberFormat="0" applyAlignment="0" applyProtection="0">
      <alignment horizontal="left" vertical="center" indent="1"/>
    </xf>
    <xf numFmtId="0" fontId="21" fillId="21" borderId="7" applyNumberFormat="0" applyAlignment="0" applyProtection="0">
      <alignment horizontal="left" vertical="center" indent="1"/>
    </xf>
    <xf numFmtId="0" fontId="20" fillId="18" borderId="7" applyNumberFormat="0" applyAlignment="0" applyProtection="0">
      <alignment horizontal="left" vertical="center" indent="1"/>
    </xf>
    <xf numFmtId="172" fontId="21" fillId="2" borderId="6" applyNumberFormat="0" applyAlignment="0" applyProtection="0">
      <alignment horizontal="right" vertical="center" indent="1"/>
    </xf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/>
    <xf numFmtId="0" fontId="39" fillId="22" borderId="4" applyNumberFormat="0" applyAlignment="0" applyProtection="0">
      <alignment horizontal="left" vertical="center" indent="1"/>
    </xf>
    <xf numFmtId="172" fontId="40" fillId="0" borderId="49" applyNumberFormat="0" applyProtection="0">
      <alignment horizontal="right" vertical="center"/>
    </xf>
    <xf numFmtId="172" fontId="39" fillId="0" borderId="7" applyNumberFormat="0" applyProtection="0">
      <alignment horizontal="right" vertical="center"/>
    </xf>
    <xf numFmtId="0" fontId="20" fillId="4" borderId="7" applyNumberFormat="0" applyAlignment="0" applyProtection="0">
      <alignment horizontal="left" vertical="center" indent="1"/>
    </xf>
    <xf numFmtId="172" fontId="40" fillId="20" borderId="49" applyNumberFormat="0" applyBorder="0" applyProtection="0">
      <alignment horizontal="right" vertical="center"/>
    </xf>
    <xf numFmtId="172" fontId="39" fillId="18" borderId="7" applyNumberFormat="0" applyProtection="0">
      <alignment horizontal="right" vertical="center"/>
    </xf>
    <xf numFmtId="172" fontId="39" fillId="20" borderId="7" applyNumberFormat="0" applyBorder="0" applyProtection="0">
      <alignment horizontal="right" vertical="center"/>
    </xf>
    <xf numFmtId="172" fontId="23" fillId="7" borderId="9" applyNumberFormat="0" applyBorder="0" applyAlignment="0" applyProtection="0">
      <alignment horizontal="right" vertical="center" indent="1"/>
    </xf>
    <xf numFmtId="172" fontId="41" fillId="6" borderId="9" applyNumberFormat="0" applyBorder="0" applyAlignment="0" applyProtection="0">
      <alignment horizontal="right" vertical="center" indent="1"/>
    </xf>
    <xf numFmtId="172" fontId="41" fillId="5" borderId="9" applyNumberFormat="0" applyBorder="0" applyAlignment="0" applyProtection="0">
      <alignment horizontal="right" vertical="center" indent="1"/>
    </xf>
    <xf numFmtId="172" fontId="24" fillId="21" borderId="9" applyNumberFormat="0" applyBorder="0" applyAlignment="0" applyProtection="0">
      <alignment horizontal="right" vertical="center" indent="1"/>
    </xf>
    <xf numFmtId="172" fontId="24" fillId="23" borderId="9" applyNumberFormat="0" applyBorder="0" applyAlignment="0" applyProtection="0">
      <alignment horizontal="right" vertical="center" indent="1"/>
    </xf>
    <xf numFmtId="172" fontId="24" fillId="24" borderId="9" applyNumberFormat="0" applyBorder="0" applyAlignment="0" applyProtection="0">
      <alignment horizontal="right" vertical="center" indent="1"/>
    </xf>
    <xf numFmtId="172" fontId="40" fillId="25" borderId="4" applyNumberFormat="0" applyAlignment="0" applyProtection="0">
      <alignment horizontal="left" vertical="center" indent="1"/>
    </xf>
    <xf numFmtId="0" fontId="39" fillId="22" borderId="7" applyNumberFormat="0" applyAlignment="0" applyProtection="0">
      <alignment horizontal="left" vertical="center" indent="1"/>
    </xf>
    <xf numFmtId="0" fontId="20" fillId="14" borderId="4" applyNumberFormat="0" applyAlignment="0" applyProtection="0">
      <alignment horizontal="left" vertical="center" indent="1"/>
    </xf>
    <xf numFmtId="0" fontId="20" fillId="15" borderId="4" applyNumberFormat="0" applyAlignment="0" applyProtection="0">
      <alignment horizontal="left" vertical="center" indent="1"/>
    </xf>
    <xf numFmtId="0" fontId="20" fillId="26" borderId="4" applyNumberFormat="0" applyAlignment="0" applyProtection="0">
      <alignment horizontal="left" vertical="center" indent="1"/>
    </xf>
    <xf numFmtId="0" fontId="20" fillId="20" borderId="4" applyNumberFormat="0" applyAlignment="0" applyProtection="0">
      <alignment horizontal="left" vertical="center" indent="1"/>
    </xf>
    <xf numFmtId="43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27" borderId="0" applyNumberFormat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172" fontId="20" fillId="0" borderId="5" applyNumberFormat="0" applyAlignment="0" applyProtection="0">
      <alignment horizontal="right" vertical="center" indent="1"/>
    </xf>
    <xf numFmtId="172" fontId="21" fillId="2" borderId="6" applyNumberFormat="0" applyAlignment="0" applyProtection="0">
      <alignment horizontal="right" vertical="center" indent="1"/>
    </xf>
    <xf numFmtId="0" fontId="21" fillId="3" borderId="7" applyNumberFormat="0" applyAlignment="0" applyProtection="0">
      <alignment horizontal="left" vertical="center" indent="1"/>
    </xf>
    <xf numFmtId="172" fontId="20" fillId="4" borderId="7" applyNumberFormat="0" applyAlignment="0" applyProtection="0">
      <alignment horizontal="left" vertical="center" indent="1"/>
    </xf>
    <xf numFmtId="172" fontId="23" fillId="5" borderId="9" applyNumberFormat="0" applyBorder="0" applyAlignment="0" applyProtection="0">
      <alignment horizontal="right" vertical="center" indent="1"/>
    </xf>
    <xf numFmtId="172" fontId="23" fillId="6" borderId="9" applyNumberFormat="0" applyBorder="0" applyAlignment="0" applyProtection="0">
      <alignment horizontal="right" vertical="center" indent="1"/>
    </xf>
    <xf numFmtId="172" fontId="23" fillId="7" borderId="9" applyNumberFormat="0" applyBorder="0" applyAlignment="0" applyProtection="0">
      <alignment horizontal="right" vertical="center" indent="1"/>
    </xf>
    <xf numFmtId="172" fontId="24" fillId="8" borderId="9" applyNumberFormat="0" applyBorder="0" applyAlignment="0" applyProtection="0">
      <alignment horizontal="right" vertical="center" indent="1"/>
    </xf>
    <xf numFmtId="172" fontId="24" fillId="9" borderId="9" applyNumberFormat="0" applyBorder="0" applyAlignment="0" applyProtection="0">
      <alignment horizontal="right" vertical="center" indent="1"/>
    </xf>
    <xf numFmtId="172" fontId="24" fillId="10" borderId="9" applyNumberFormat="0" applyBorder="0" applyAlignment="0" applyProtection="0">
      <alignment horizontal="right" vertical="center" indent="1"/>
    </xf>
    <xf numFmtId="0" fontId="20" fillId="14" borderId="7" applyNumberFormat="0" applyAlignment="0" applyProtection="0">
      <alignment horizontal="left" vertical="center" indent="1"/>
    </xf>
    <xf numFmtId="0" fontId="20" fillId="15" borderId="7" applyNumberFormat="0" applyAlignment="0" applyProtection="0">
      <alignment horizontal="left" vertical="center" indent="1"/>
    </xf>
    <xf numFmtId="0" fontId="20" fillId="16" borderId="7" applyNumberFormat="0" applyAlignment="0" applyProtection="0">
      <alignment horizontal="left" vertical="center" indent="1"/>
    </xf>
    <xf numFmtId="0" fontId="20" fillId="17" borderId="7" applyNumberFormat="0" applyAlignment="0" applyProtection="0">
      <alignment horizontal="left" vertical="center" indent="1"/>
    </xf>
    <xf numFmtId="172" fontId="20" fillId="20" borderId="5" applyNumberFormat="0" applyBorder="0" applyAlignment="0" applyProtection="0">
      <alignment horizontal="right" vertical="center" indent="1"/>
    </xf>
    <xf numFmtId="172" fontId="21" fillId="20" borderId="6" applyNumberFormat="0" applyAlignment="0" applyProtection="0">
      <alignment horizontal="right" vertical="center" indent="1"/>
    </xf>
    <xf numFmtId="172" fontId="20" fillId="3" borderId="4" applyNumberFormat="0" applyAlignment="0" applyProtection="0">
      <alignment horizontal="left" vertical="center" indent="1"/>
    </xf>
    <xf numFmtId="0" fontId="21" fillId="21" borderId="7" applyNumberFormat="0" applyAlignment="0" applyProtection="0">
      <alignment horizontal="left" vertical="center" indent="1"/>
    </xf>
    <xf numFmtId="172" fontId="21" fillId="2" borderId="6" applyNumberFormat="0" applyAlignment="0" applyProtection="0">
      <alignment horizontal="right" vertical="center" inden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40" fillId="0" borderId="49" applyNumberFormat="0" applyProtection="0">
      <alignment horizontal="right" vertical="center"/>
    </xf>
    <xf numFmtId="172" fontId="39" fillId="0" borderId="7" applyNumberFormat="0" applyProtection="0">
      <alignment horizontal="right" vertical="center"/>
    </xf>
    <xf numFmtId="0" fontId="39" fillId="22" borderId="4" applyNumberFormat="0" applyAlignment="0" applyProtection="0">
      <alignment horizontal="left" vertical="center" indent="1"/>
    </xf>
    <xf numFmtId="172" fontId="23" fillId="7" borderId="9" applyNumberFormat="0" applyBorder="0" applyAlignment="0" applyProtection="0">
      <alignment horizontal="right" vertical="center" indent="1"/>
    </xf>
    <xf numFmtId="172" fontId="41" fillId="6" borderId="9" applyNumberFormat="0" applyBorder="0" applyAlignment="0" applyProtection="0">
      <alignment horizontal="right" vertical="center" indent="1"/>
    </xf>
    <xf numFmtId="172" fontId="41" fillId="5" borderId="9" applyNumberFormat="0" applyBorder="0" applyAlignment="0" applyProtection="0">
      <alignment horizontal="right" vertical="center" indent="1"/>
    </xf>
    <xf numFmtId="172" fontId="24" fillId="21" borderId="9" applyNumberFormat="0" applyBorder="0" applyAlignment="0" applyProtection="0">
      <alignment horizontal="right" vertical="center" indent="1"/>
    </xf>
    <xf numFmtId="172" fontId="24" fillId="23" borderId="9" applyNumberFormat="0" applyBorder="0" applyAlignment="0" applyProtection="0">
      <alignment horizontal="right" vertical="center" indent="1"/>
    </xf>
    <xf numFmtId="172" fontId="24" fillId="24" borderId="9" applyNumberFormat="0" applyBorder="0" applyAlignment="0" applyProtection="0">
      <alignment horizontal="right" vertical="center" indent="1"/>
    </xf>
    <xf numFmtId="0" fontId="20" fillId="14" borderId="4" applyNumberFormat="0" applyAlignment="0" applyProtection="0">
      <alignment horizontal="left" vertical="center" indent="1"/>
    </xf>
    <xf numFmtId="0" fontId="20" fillId="15" borderId="4" applyNumberFormat="0" applyAlignment="0" applyProtection="0">
      <alignment horizontal="left" vertical="center" indent="1"/>
    </xf>
    <xf numFmtId="0" fontId="20" fillId="26" borderId="4" applyNumberFormat="0" applyAlignment="0" applyProtection="0">
      <alignment horizontal="left" vertical="center" indent="1"/>
    </xf>
    <xf numFmtId="0" fontId="20" fillId="20" borderId="4" applyNumberFormat="0" applyAlignment="0" applyProtection="0">
      <alignment horizontal="left" vertical="center" indent="1"/>
    </xf>
    <xf numFmtId="172" fontId="40" fillId="20" borderId="49" applyNumberFormat="0" applyBorder="0" applyProtection="0">
      <alignment horizontal="right" vertical="center"/>
    </xf>
    <xf numFmtId="172" fontId="39" fillId="20" borderId="7" applyNumberFormat="0" applyBorder="0" applyProtection="0">
      <alignment horizontal="right" vertical="center"/>
    </xf>
    <xf numFmtId="172" fontId="40" fillId="25" borderId="4" applyNumberFormat="0" applyAlignment="0" applyProtection="0">
      <alignment horizontal="left" vertical="center" indent="1"/>
    </xf>
    <xf numFmtId="0" fontId="39" fillId="22" borderId="7" applyNumberFormat="0" applyAlignment="0" applyProtection="0">
      <alignment horizontal="left" vertical="center" indent="1"/>
    </xf>
    <xf numFmtId="172" fontId="39" fillId="18" borderId="7" applyNumberFormat="0" applyProtection="0">
      <alignment horizontal="right" vertical="center"/>
    </xf>
    <xf numFmtId="0" fontId="22" fillId="4" borderId="7" applyNumberFormat="0" applyAlignment="0" applyProtection="0">
      <alignment horizontal="left" vertical="center" indent="1"/>
    </xf>
    <xf numFmtId="0" fontId="22" fillId="4" borderId="7" applyNumberFormat="0" applyAlignment="0" applyProtection="0">
      <alignment horizontal="left" vertical="center" indent="1"/>
    </xf>
    <xf numFmtId="172" fontId="46" fillId="20" borderId="49" applyNumberFormat="0" applyBorder="0" applyProtection="0">
      <alignment horizontal="right" vertical="center"/>
    </xf>
    <xf numFmtId="172" fontId="47" fillId="20" borderId="7" applyNumberFormat="0" applyBorder="0" applyProtection="0">
      <alignment horizontal="right" vertical="center"/>
    </xf>
    <xf numFmtId="0" fontId="22" fillId="18" borderId="7" applyNumberFormat="0" applyAlignment="0" applyProtection="0">
      <alignment horizontal="left" vertical="center" indent="1"/>
    </xf>
    <xf numFmtId="172" fontId="47" fillId="18" borderId="7" applyNumberFormat="0" applyProtection="0">
      <alignment horizontal="right" vertical="center"/>
    </xf>
    <xf numFmtId="0" fontId="48" fillId="0" borderId="8" applyNumberFormat="0" applyBorder="0" applyAlignment="0" applyProtection="0"/>
    <xf numFmtId="172" fontId="40" fillId="0" borderId="49" applyNumberFormat="0" applyFill="0" applyBorder="0" applyAlignment="0" applyProtection="0">
      <alignment horizontal="right" vertical="center"/>
    </xf>
    <xf numFmtId="172" fontId="40" fillId="0" borderId="49" applyNumberFormat="0" applyFill="0" applyBorder="0" applyAlignment="0" applyProtection="0">
      <alignment horizontal="right" vertical="center"/>
    </xf>
    <xf numFmtId="172" fontId="40" fillId="25" borderId="4" applyNumberFormat="0" applyAlignment="0" applyProtection="0">
      <alignment horizontal="left" vertical="center" indent="1"/>
    </xf>
    <xf numFmtId="172" fontId="49" fillId="25" borderId="0" applyNumberFormat="0" applyAlignment="0" applyProtection="0">
      <alignment horizontal="left" vertical="center" indent="1"/>
    </xf>
    <xf numFmtId="0" fontId="19" fillId="0" borderId="51" applyNumberFormat="0" applyFont="0" applyFill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7" fontId="0" fillId="0" borderId="0" xfId="0" applyNumberFormat="1"/>
    <xf numFmtId="170" fontId="0" fillId="0" borderId="0" xfId="0" applyNumberFormat="1"/>
    <xf numFmtId="0" fontId="17" fillId="0" borderId="0" xfId="0" applyFont="1"/>
    <xf numFmtId="17" fontId="10" fillId="0" borderId="0" xfId="0" applyNumberFormat="1" applyFont="1" applyFill="1"/>
    <xf numFmtId="7" fontId="10" fillId="0" borderId="0" xfId="1" applyNumberFormat="1" applyFont="1" applyFill="1"/>
    <xf numFmtId="0" fontId="10" fillId="0" borderId="0" xfId="0" applyFont="1" applyFill="1" applyAlignment="1">
      <alignment horizontal="center"/>
    </xf>
    <xf numFmtId="7" fontId="10" fillId="0" borderId="0" xfId="0" applyNumberFormat="1" applyFont="1" applyFill="1" applyAlignment="1">
      <alignment horizontal="center"/>
    </xf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4" fontId="10" fillId="0" borderId="1" xfId="3" applyFont="1" applyFill="1" applyBorder="1"/>
    <xf numFmtId="17" fontId="26" fillId="0" borderId="0" xfId="0" applyNumberFormat="1" applyFont="1" applyFill="1"/>
    <xf numFmtId="164" fontId="10" fillId="0" borderId="0" xfId="3" applyNumberFormat="1" applyFont="1" applyFill="1" applyAlignment="1">
      <alignment horizontal="center"/>
    </xf>
    <xf numFmtId="43" fontId="10" fillId="0" borderId="0" xfId="1" applyFont="1" applyFill="1"/>
    <xf numFmtId="0" fontId="10" fillId="0" borderId="0" xfId="0" quotePrefix="1" applyFont="1" applyFill="1"/>
    <xf numFmtId="0" fontId="8" fillId="0" borderId="0" xfId="0" applyFont="1"/>
    <xf numFmtId="0" fontId="0" fillId="0" borderId="0" xfId="0"/>
    <xf numFmtId="167" fontId="0" fillId="0" borderId="0" xfId="0" applyNumberFormat="1" applyFill="1"/>
    <xf numFmtId="164" fontId="0" fillId="0" borderId="0" xfId="3" applyNumberFormat="1" applyFont="1" applyFill="1"/>
    <xf numFmtId="17" fontId="11" fillId="0" borderId="0" xfId="0" applyNumberFormat="1" applyFont="1" applyFill="1"/>
    <xf numFmtId="7" fontId="8" fillId="0" borderId="0" xfId="3" applyNumberFormat="1" applyFill="1"/>
    <xf numFmtId="165" fontId="8" fillId="0" borderId="0" xfId="1" applyNumberFormat="1" applyFill="1"/>
    <xf numFmtId="0" fontId="0" fillId="0" borderId="0" xfId="0" applyFill="1"/>
    <xf numFmtId="165" fontId="0" fillId="0" borderId="0" xfId="1" applyNumberFormat="1" applyFont="1" applyFill="1"/>
    <xf numFmtId="0" fontId="8" fillId="0" borderId="0" xfId="1" applyNumberFormat="1" applyFill="1"/>
    <xf numFmtId="43" fontId="8" fillId="0" borderId="0" xfId="1" applyFill="1"/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 horizontal="center"/>
    </xf>
    <xf numFmtId="38" fontId="0" fillId="0" borderId="0" xfId="0" applyNumberFormat="1" applyFill="1"/>
    <xf numFmtId="164" fontId="0" fillId="0" borderId="0" xfId="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8" fontId="9" fillId="0" borderId="0" xfId="0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7" fontId="8" fillId="0" borderId="2" xfId="3" applyNumberFormat="1" applyFill="1" applyBorder="1"/>
    <xf numFmtId="37" fontId="0" fillId="0" borderId="2" xfId="0" applyNumberFormat="1" applyFill="1" applyBorder="1"/>
    <xf numFmtId="38" fontId="11" fillId="0" borderId="0" xfId="0" applyNumberFormat="1" applyFont="1" applyFill="1"/>
    <xf numFmtId="7" fontId="8" fillId="0" borderId="0" xfId="3" applyNumberFormat="1" applyFill="1" applyBorder="1"/>
    <xf numFmtId="40" fontId="0" fillId="0" borderId="0" xfId="0" applyNumberFormat="1" applyFill="1"/>
    <xf numFmtId="44" fontId="0" fillId="0" borderId="0" xfId="0" applyNumberFormat="1" applyFill="1"/>
    <xf numFmtId="168" fontId="0" fillId="0" borderId="0" xfId="0" applyNumberFormat="1" applyFill="1"/>
    <xf numFmtId="9" fontId="0" fillId="0" borderId="0" xfId="4" applyFont="1" applyFill="1"/>
    <xf numFmtId="0" fontId="16" fillId="0" borderId="0" xfId="0" applyFont="1" applyFill="1"/>
    <xf numFmtId="7" fontId="0" fillId="0" borderId="0" xfId="0" applyNumberFormat="1" applyFill="1"/>
    <xf numFmtId="0" fontId="0" fillId="0" borderId="0" xfId="0" applyFill="1" applyAlignment="1">
      <alignment horizontal="left" indent="1"/>
    </xf>
    <xf numFmtId="167" fontId="0" fillId="0" borderId="3" xfId="0" applyNumberFormat="1" applyFill="1" applyBorder="1"/>
    <xf numFmtId="171" fontId="0" fillId="0" borderId="0" xfId="1" applyNumberFormat="1" applyFont="1" applyFill="1"/>
    <xf numFmtId="0" fontId="18" fillId="0" borderId="0" xfId="0" applyFont="1" applyFill="1"/>
    <xf numFmtId="173" fontId="20" fillId="0" borderId="0" xfId="7" applyNumberFormat="1" applyFill="1" applyBorder="1" applyAlignment="1"/>
    <xf numFmtId="7" fontId="0" fillId="0" borderId="10" xfId="0" applyNumberFormat="1" applyBorder="1"/>
    <xf numFmtId="7" fontId="8" fillId="0" borderId="0" xfId="1" applyNumberFormat="1" applyFill="1"/>
    <xf numFmtId="0" fontId="30" fillId="0" borderId="0" xfId="47"/>
    <xf numFmtId="37" fontId="8" fillId="0" borderId="0" xfId="0" applyNumberFormat="1" applyFont="1" applyFill="1"/>
    <xf numFmtId="7" fontId="8" fillId="0" borderId="0" xfId="3" applyNumberFormat="1" applyFont="1" applyFill="1"/>
    <xf numFmtId="44" fontId="8" fillId="0" borderId="2" xfId="3" applyNumberFormat="1" applyFont="1" applyFill="1" applyBorder="1"/>
    <xf numFmtId="0" fontId="0" fillId="0" borderId="0" xfId="0"/>
    <xf numFmtId="37" fontId="0" fillId="0" borderId="0" xfId="0" applyNumberFormat="1"/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Border="1"/>
    <xf numFmtId="169" fontId="0" fillId="0" borderId="0" xfId="0" applyNumberFormat="1"/>
    <xf numFmtId="44" fontId="0" fillId="0" borderId="0" xfId="0" applyNumberFormat="1"/>
    <xf numFmtId="44" fontId="15" fillId="0" borderId="20" xfId="0" applyNumberFormat="1" applyFont="1" applyBorder="1"/>
    <xf numFmtId="3" fontId="15" fillId="0" borderId="20" xfId="0" applyNumberFormat="1" applyFont="1" applyBorder="1"/>
    <xf numFmtId="0" fontId="13" fillId="0" borderId="0" xfId="0" applyFont="1"/>
    <xf numFmtId="44" fontId="15" fillId="0" borderId="24" xfId="0" applyNumberFormat="1" applyFont="1" applyBorder="1"/>
    <xf numFmtId="44" fontId="15" fillId="0" borderId="13" xfId="0" applyNumberFormat="1" applyFont="1" applyBorder="1"/>
    <xf numFmtId="3" fontId="15" fillId="0" borderId="24" xfId="0" applyNumberFormat="1" applyFont="1" applyBorder="1"/>
    <xf numFmtId="44" fontId="15" fillId="0" borderId="21" xfId="0" applyNumberFormat="1" applyFont="1" applyBorder="1"/>
    <xf numFmtId="44" fontId="0" fillId="0" borderId="26" xfId="0" applyNumberFormat="1" applyBorder="1"/>
    <xf numFmtId="44" fontId="15" fillId="0" borderId="26" xfId="0" applyNumberFormat="1" applyFont="1" applyBorder="1"/>
    <xf numFmtId="3" fontId="15" fillId="0" borderId="13" xfId="0" applyNumberFormat="1" applyFont="1" applyBorder="1"/>
    <xf numFmtId="44" fontId="15" fillId="0" borderId="31" xfId="0" applyNumberFormat="1" applyFont="1" applyBorder="1" applyAlignment="1">
      <alignment horizontal="center"/>
    </xf>
    <xf numFmtId="44" fontId="15" fillId="0" borderId="31" xfId="0" applyNumberFormat="1" applyFont="1" applyBorder="1" applyAlignment="1">
      <alignment horizontal="center" wrapText="1"/>
    </xf>
    <xf numFmtId="177" fontId="15" fillId="0" borderId="32" xfId="0" applyNumberFormat="1" applyFont="1" applyBorder="1" applyAlignment="1">
      <alignment horizontal="center"/>
    </xf>
    <xf numFmtId="44" fontId="15" fillId="0" borderId="33" xfId="0" applyNumberFormat="1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44" fontId="15" fillId="0" borderId="32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7" fontId="15" fillId="0" borderId="37" xfId="0" applyNumberFormat="1" applyFont="1" applyBorder="1" applyAlignment="1">
      <alignment horizontal="center"/>
    </xf>
    <xf numFmtId="169" fontId="15" fillId="0" borderId="39" xfId="0" applyNumberFormat="1" applyFont="1" applyBorder="1"/>
    <xf numFmtId="44" fontId="8" fillId="0" borderId="21" xfId="0" applyNumberFormat="1" applyFont="1" applyBorder="1"/>
    <xf numFmtId="44" fontId="8" fillId="0" borderId="23" xfId="0" applyNumberFormat="1" applyFont="1" applyBorder="1"/>
    <xf numFmtId="44" fontId="8" fillId="0" borderId="13" xfId="0" applyNumberFormat="1" applyFont="1" applyBorder="1"/>
    <xf numFmtId="37" fontId="15" fillId="0" borderId="24" xfId="0" applyNumberFormat="1" applyFont="1" applyBorder="1"/>
    <xf numFmtId="37" fontId="15" fillId="0" borderId="29" xfId="0" applyNumberFormat="1" applyFont="1" applyBorder="1"/>
    <xf numFmtId="169" fontId="15" fillId="0" borderId="0" xfId="0" applyNumberFormat="1" applyFont="1" applyBorder="1"/>
    <xf numFmtId="44" fontId="15" fillId="0" borderId="0" xfId="0" applyNumberFormat="1" applyFont="1" applyBorder="1"/>
    <xf numFmtId="37" fontId="15" fillId="0" borderId="0" xfId="0" applyNumberFormat="1" applyFont="1" applyBorder="1"/>
    <xf numFmtId="3" fontId="15" fillId="0" borderId="0" xfId="0" applyNumberFormat="1" applyFont="1" applyBorder="1"/>
    <xf numFmtId="44" fontId="8" fillId="0" borderId="25" xfId="0" applyNumberFormat="1" applyFont="1" applyBorder="1"/>
    <xf numFmtId="44" fontId="8" fillId="0" borderId="41" xfId="0" applyNumberFormat="1" applyFont="1" applyBorder="1"/>
    <xf numFmtId="3" fontId="8" fillId="0" borderId="25" xfId="0" applyNumberFormat="1" applyFont="1" applyBorder="1"/>
    <xf numFmtId="3" fontId="8" fillId="0" borderId="13" xfId="0" applyNumberFormat="1" applyFont="1" applyBorder="1"/>
    <xf numFmtId="3" fontId="8" fillId="0" borderId="41" xfId="0" applyNumberFormat="1" applyFont="1" applyBorder="1"/>
    <xf numFmtId="3" fontId="8" fillId="0" borderId="21" xfId="0" applyNumberFormat="1" applyFont="1" applyBorder="1"/>
    <xf numFmtId="44" fontId="8" fillId="0" borderId="28" xfId="0" applyNumberFormat="1" applyFont="1" applyBorder="1"/>
    <xf numFmtId="44" fontId="8" fillId="0" borderId="26" xfId="0" applyNumberFormat="1" applyFont="1" applyBorder="1"/>
    <xf numFmtId="37" fontId="8" fillId="0" borderId="28" xfId="0" applyNumberFormat="1" applyFont="1" applyBorder="1"/>
    <xf numFmtId="37" fontId="8" fillId="0" borderId="26" xfId="0" applyNumberFormat="1" applyFont="1" applyBorder="1"/>
    <xf numFmtId="44" fontId="8" fillId="0" borderId="15" xfId="0" applyNumberFormat="1" applyFont="1" applyBorder="1"/>
    <xf numFmtId="37" fontId="8" fillId="0" borderId="15" xfId="0" applyNumberFormat="1" applyFont="1" applyBorder="1"/>
    <xf numFmtId="37" fontId="8" fillId="0" borderId="27" xfId="0" applyNumberFormat="1" applyFont="1" applyBorder="1"/>
    <xf numFmtId="44" fontId="8" fillId="0" borderId="22" xfId="0" applyNumberFormat="1" applyFont="1" applyBorder="1"/>
    <xf numFmtId="3" fontId="8" fillId="0" borderId="15" xfId="0" applyNumberFormat="1" applyFont="1" applyBorder="1"/>
    <xf numFmtId="44" fontId="8" fillId="0" borderId="27" xfId="0" applyNumberFormat="1" applyFont="1" applyBorder="1"/>
    <xf numFmtId="3" fontId="8" fillId="0" borderId="22" xfId="0" applyNumberFormat="1" applyFont="1" applyBorder="1"/>
    <xf numFmtId="169" fontId="15" fillId="0" borderId="38" xfId="0" applyNumberFormat="1" applyFont="1" applyBorder="1"/>
    <xf numFmtId="37" fontId="15" fillId="0" borderId="13" xfId="0" applyNumberFormat="1" applyFont="1" applyBorder="1"/>
    <xf numFmtId="37" fontId="15" fillId="0" borderId="26" xfId="0" applyNumberFormat="1" applyFont="1" applyBorder="1"/>
    <xf numFmtId="3" fontId="15" fillId="0" borderId="21" xfId="0" applyNumberFormat="1" applyFont="1" applyBorder="1"/>
    <xf numFmtId="44" fontId="15" fillId="0" borderId="29" xfId="0" applyNumberFormat="1" applyFont="1" applyBorder="1"/>
    <xf numFmtId="44" fontId="8" fillId="0" borderId="30" xfId="0" applyNumberFormat="1" applyFont="1" applyBorder="1"/>
    <xf numFmtId="37" fontId="15" fillId="0" borderId="20" xfId="0" applyNumberFormat="1" applyFont="1" applyBorder="1"/>
    <xf numFmtId="169" fontId="8" fillId="0" borderId="42" xfId="0" applyNumberFormat="1" applyFont="1" applyBorder="1"/>
    <xf numFmtId="37" fontId="8" fillId="0" borderId="41" xfId="0" applyNumberFormat="1" applyFont="1" applyBorder="1"/>
    <xf numFmtId="37" fontId="8" fillId="0" borderId="21" xfId="0" applyNumberFormat="1" applyFont="1" applyBorder="1"/>
    <xf numFmtId="169" fontId="8" fillId="0" borderId="43" xfId="0" applyNumberFormat="1" applyFont="1" applyBorder="1"/>
    <xf numFmtId="44" fontId="8" fillId="0" borderId="44" xfId="0" applyNumberFormat="1" applyFont="1" applyBorder="1"/>
    <xf numFmtId="44" fontId="15" fillId="0" borderId="40" xfId="0" applyNumberFormat="1" applyFont="1" applyBorder="1"/>
    <xf numFmtId="0" fontId="15" fillId="0" borderId="32" xfId="0" applyFont="1" applyBorder="1" applyAlignment="1">
      <alignment horizontal="center"/>
    </xf>
    <xf numFmtId="44" fontId="8" fillId="0" borderId="26" xfId="108" applyFont="1" applyBorder="1"/>
    <xf numFmtId="4" fontId="0" fillId="0" borderId="0" xfId="0" applyNumberFormat="1"/>
    <xf numFmtId="0" fontId="15" fillId="0" borderId="0" xfId="58" applyFont="1" applyFill="1" applyBorder="1" applyAlignment="1">
      <alignment horizontal="center" wrapText="1"/>
    </xf>
    <xf numFmtId="44" fontId="15" fillId="0" borderId="0" xfId="110" applyFont="1" applyFill="1" applyBorder="1" applyAlignment="1">
      <alignment horizontal="center" wrapText="1"/>
    </xf>
    <xf numFmtId="164" fontId="44" fillId="0" borderId="0" xfId="113" applyNumberFormat="1" applyFont="1" applyFill="1"/>
    <xf numFmtId="169" fontId="0" fillId="0" borderId="0" xfId="0" applyNumberFormat="1" applyFill="1"/>
    <xf numFmtId="39" fontId="0" fillId="0" borderId="0" xfId="0" applyNumberFormat="1" applyFill="1" applyBorder="1"/>
    <xf numFmtId="0" fontId="0" fillId="0" borderId="0" xfId="0" applyFill="1" applyAlignment="1">
      <alignment horizontal="right"/>
    </xf>
    <xf numFmtId="7" fontId="0" fillId="0" borderId="10" xfId="0" applyNumberFormat="1" applyFill="1" applyBorder="1"/>
    <xf numFmtId="164" fontId="45" fillId="0" borderId="0" xfId="113" applyNumberFormat="1" applyFont="1" applyFill="1"/>
    <xf numFmtId="167" fontId="44" fillId="0" borderId="0" xfId="113" applyNumberFormat="1" applyFont="1" applyFill="1"/>
    <xf numFmtId="4" fontId="45" fillId="0" borderId="0" xfId="113" applyNumberFormat="1" applyFont="1" applyFill="1" applyBorder="1"/>
    <xf numFmtId="44" fontId="45" fillId="0" borderId="0" xfId="113" applyNumberFormat="1" applyFont="1" applyFill="1"/>
    <xf numFmtId="39" fontId="0" fillId="0" borderId="0" xfId="0" applyNumberFormat="1"/>
    <xf numFmtId="44" fontId="45" fillId="0" borderId="2" xfId="113" applyNumberFormat="1" applyFont="1" applyFill="1" applyBorder="1"/>
    <xf numFmtId="0" fontId="13" fillId="0" borderId="0" xfId="0" applyFont="1" applyFill="1" applyAlignment="1">
      <alignment horizontal="left"/>
    </xf>
    <xf numFmtId="169" fontId="8" fillId="0" borderId="0" xfId="0" applyNumberFormat="1" applyFont="1"/>
    <xf numFmtId="169" fontId="8" fillId="0" borderId="38" xfId="0" applyNumberFormat="1" applyFont="1" applyBorder="1"/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3" xfId="0" applyFont="1" applyBorder="1"/>
    <xf numFmtId="44" fontId="0" fillId="0" borderId="13" xfId="0" applyNumberFormat="1" applyBorder="1"/>
    <xf numFmtId="0" fontId="0" fillId="0" borderId="14" xfId="0" applyBorder="1"/>
    <xf numFmtId="3" fontId="0" fillId="0" borderId="14" xfId="0" applyNumberFormat="1" applyBorder="1"/>
    <xf numFmtId="3" fontId="0" fillId="0" borderId="13" xfId="0" applyNumberFormat="1" applyBorder="1"/>
    <xf numFmtId="174" fontId="0" fillId="0" borderId="13" xfId="0" applyNumberFormat="1" applyBorder="1"/>
    <xf numFmtId="0" fontId="0" fillId="0" borderId="13" xfId="0" applyBorder="1"/>
    <xf numFmtId="175" fontId="0" fillId="0" borderId="13" xfId="0" applyNumberFormat="1" applyBorder="1"/>
    <xf numFmtId="3" fontId="0" fillId="0" borderId="15" xfId="0" applyNumberFormat="1" applyBorder="1"/>
    <xf numFmtId="8" fontId="0" fillId="0" borderId="13" xfId="0" applyNumberFormat="1" applyBorder="1"/>
    <xf numFmtId="0" fontId="31" fillId="0" borderId="16" xfId="0" applyFont="1" applyBorder="1" applyAlignment="1">
      <alignment horizontal="right"/>
    </xf>
    <xf numFmtId="175" fontId="31" fillId="0" borderId="16" xfId="0" applyNumberFormat="1" applyFont="1" applyBorder="1"/>
    <xf numFmtId="0" fontId="0" fillId="0" borderId="16" xfId="0" applyBorder="1"/>
    <xf numFmtId="10" fontId="0" fillId="0" borderId="13" xfId="0" applyNumberFormat="1" applyBorder="1"/>
    <xf numFmtId="9" fontId="0" fillId="0" borderId="13" xfId="0" applyNumberFormat="1" applyBorder="1"/>
    <xf numFmtId="0" fontId="33" fillId="0" borderId="17" xfId="0" applyFont="1" applyBorder="1" applyAlignment="1">
      <alignment horizontal="right"/>
    </xf>
    <xf numFmtId="44" fontId="33" fillId="0" borderId="17" xfId="0" applyNumberFormat="1" applyFont="1" applyBorder="1"/>
    <xf numFmtId="0" fontId="33" fillId="0" borderId="11" xfId="0" applyFont="1" applyBorder="1"/>
    <xf numFmtId="44" fontId="33" fillId="0" borderId="11" xfId="0" applyNumberFormat="1" applyFont="1" applyBorder="1"/>
    <xf numFmtId="0" fontId="33" fillId="0" borderId="18" xfId="0" applyFont="1" applyBorder="1" applyAlignment="1">
      <alignment horizontal="right"/>
    </xf>
    <xf numFmtId="44" fontId="33" fillId="0" borderId="19" xfId="0" applyNumberFormat="1" applyFont="1" applyBorder="1"/>
    <xf numFmtId="0" fontId="34" fillId="0" borderId="0" xfId="0" applyFont="1"/>
    <xf numFmtId="10" fontId="29" fillId="0" borderId="0" xfId="0" applyNumberFormat="1" applyFont="1" applyFill="1"/>
    <xf numFmtId="10" fontId="10" fillId="0" borderId="0" xfId="0" applyNumberFormat="1" applyFont="1" applyFill="1"/>
    <xf numFmtId="7" fontId="8" fillId="0" borderId="0" xfId="3" applyNumberFormat="1" applyFill="1"/>
    <xf numFmtId="164" fontId="44" fillId="0" borderId="0" xfId="113" applyNumberFormat="1" applyFont="1" applyFill="1"/>
    <xf numFmtId="167" fontId="44" fillId="0" borderId="0" xfId="113" applyNumberFormat="1" applyFont="1" applyFill="1"/>
    <xf numFmtId="4" fontId="45" fillId="0" borderId="0" xfId="113" applyNumberFormat="1" applyFont="1" applyFill="1" applyBorder="1"/>
    <xf numFmtId="44" fontId="45" fillId="0" borderId="0" xfId="113" applyNumberFormat="1" applyFont="1" applyFill="1"/>
    <xf numFmtId="44" fontId="45" fillId="0" borderId="2" xfId="113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3" applyNumberFormat="1" applyFont="1" applyFill="1" applyBorder="1" applyAlignment="1">
      <alignment horizontal="center"/>
    </xf>
    <xf numFmtId="164" fontId="10" fillId="0" borderId="0" xfId="3" applyNumberFormat="1" applyFont="1" applyFill="1" applyBorder="1" applyAlignment="1">
      <alignment horizontal="center"/>
    </xf>
    <xf numFmtId="38" fontId="0" fillId="0" borderId="0" xfId="0" applyNumberFormat="1" applyFill="1" applyBorder="1"/>
    <xf numFmtId="164" fontId="0" fillId="0" borderId="0" xfId="3" applyNumberFormat="1" applyFont="1" applyFill="1" applyBorder="1"/>
    <xf numFmtId="38" fontId="10" fillId="0" borderId="0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7" fontId="8" fillId="0" borderId="0" xfId="0" applyNumberFormat="1" applyFont="1" applyFill="1" applyBorder="1"/>
    <xf numFmtId="164" fontId="45" fillId="0" borderId="0" xfId="113" applyNumberFormat="1" applyFont="1" applyFill="1" applyBorder="1"/>
    <xf numFmtId="164" fontId="44" fillId="0" borderId="0" xfId="113" applyNumberFormat="1" applyFont="1" applyFill="1" applyBorder="1"/>
    <xf numFmtId="37" fontId="0" fillId="0" borderId="0" xfId="0" applyNumberFormat="1" applyFill="1" applyBorder="1"/>
    <xf numFmtId="44" fontId="8" fillId="0" borderId="13" xfId="0" applyNumberFormat="1" applyFont="1" applyBorder="1"/>
    <xf numFmtId="44" fontId="8" fillId="0" borderId="41" xfId="0" applyNumberFormat="1" applyFont="1" applyBorder="1"/>
    <xf numFmtId="44" fontId="8" fillId="0" borderId="13" xfId="0" applyNumberFormat="1" applyFont="1" applyBorder="1"/>
    <xf numFmtId="44" fontId="8" fillId="0" borderId="41" xfId="0" applyNumberFormat="1" applyFont="1" applyBorder="1"/>
    <xf numFmtId="4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44" fontId="16" fillId="0" borderId="45" xfId="0" applyNumberFormat="1" applyFont="1" applyBorder="1" applyAlignment="1">
      <alignment horizontal="center"/>
    </xf>
    <xf numFmtId="44" fontId="16" fillId="0" borderId="46" xfId="0" applyNumberFormat="1" applyFont="1" applyBorder="1" applyAlignment="1">
      <alignment horizontal="center"/>
    </xf>
    <xf numFmtId="44" fontId="16" fillId="0" borderId="47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top"/>
    </xf>
    <xf numFmtId="0" fontId="16" fillId="0" borderId="45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242">
    <cellStyle name="Comma" xfId="1" builtinId="3"/>
    <cellStyle name="Comma 10" xfId="103" xr:uid="{00000000-0005-0000-0000-000001000000}"/>
    <cellStyle name="Comma 10 2" xfId="206" xr:uid="{EAEF8123-C60E-4F33-8DF7-756797017FCF}"/>
    <cellStyle name="Comma 11" xfId="114" xr:uid="{00000000-0005-0000-0000-000002000000}"/>
    <cellStyle name="Comma 12" xfId="128" xr:uid="{00000000-0005-0000-0000-000003000000}"/>
    <cellStyle name="Comma 12 2" xfId="227" xr:uid="{B9760E82-D793-462F-AC78-4FE3C10C9B37}"/>
    <cellStyle name="Comma 13" xfId="239" xr:uid="{2B78C173-FCA9-477F-A99F-E9B99322A4F0}"/>
    <cellStyle name="Comma 2" xfId="35" xr:uid="{00000000-0005-0000-0000-000004000000}"/>
    <cellStyle name="Comma 2 2" xfId="40" xr:uid="{00000000-0005-0000-0000-000005000000}"/>
    <cellStyle name="Comma 3" xfId="43" xr:uid="{00000000-0005-0000-0000-000006000000}"/>
    <cellStyle name="Comma 3 2" xfId="45" xr:uid="{00000000-0005-0000-0000-000007000000}"/>
    <cellStyle name="Comma 3 3" xfId="52" xr:uid="{00000000-0005-0000-0000-000008000000}"/>
    <cellStyle name="Comma 4" xfId="49" xr:uid="{00000000-0005-0000-0000-000009000000}"/>
    <cellStyle name="Comma 4 2" xfId="53" xr:uid="{00000000-0005-0000-0000-00000A000000}"/>
    <cellStyle name="Comma 4 3" xfId="93" xr:uid="{00000000-0005-0000-0000-00000B000000}"/>
    <cellStyle name="Comma 4 3 2" xfId="116" xr:uid="{00000000-0005-0000-0000-00000C000000}"/>
    <cellStyle name="Comma 4 3 2 2" xfId="217" xr:uid="{5AB44478-CE2E-4476-8473-526BBAEB853C}"/>
    <cellStyle name="Comma 4 3 3" xfId="156" xr:uid="{00000000-0005-0000-0000-00000D000000}"/>
    <cellStyle name="Comma 4 3 3 2" xfId="236" xr:uid="{0FC5BFAA-4DA5-4B62-8DFA-A2AFB9A23BE4}"/>
    <cellStyle name="Comma 4 3 4" xfId="203" xr:uid="{55CAEF88-6182-46D5-AF2A-78B3428EB8BF}"/>
    <cellStyle name="Comma 4 4" xfId="115" xr:uid="{00000000-0005-0000-0000-00000E000000}"/>
    <cellStyle name="Comma 4 4 2" xfId="216" xr:uid="{3E69037E-8E1F-445B-B115-D19625723735}"/>
    <cellStyle name="Comma 4 5" xfId="150" xr:uid="{00000000-0005-0000-0000-00000F000000}"/>
    <cellStyle name="Comma 4 5 2" xfId="230" xr:uid="{17DCE9BE-35AF-4970-A26F-9019D34EF4BB}"/>
    <cellStyle name="Comma 4 6" xfId="197" xr:uid="{7FA0B81F-4EE8-4765-A5A6-25812A68E9AA}"/>
    <cellStyle name="Comma 5" xfId="51" xr:uid="{00000000-0005-0000-0000-000010000000}"/>
    <cellStyle name="Comma 5 2" xfId="54" xr:uid="{00000000-0005-0000-0000-000011000000}"/>
    <cellStyle name="Comma 5 3" xfId="61" xr:uid="{00000000-0005-0000-0000-000012000000}"/>
    <cellStyle name="Comma 5 3 2" xfId="97" xr:uid="{00000000-0005-0000-0000-000013000000}"/>
    <cellStyle name="Comma 5 4" xfId="95" xr:uid="{00000000-0005-0000-0000-000014000000}"/>
    <cellStyle name="Comma 5 4 2" xfId="118" xr:uid="{00000000-0005-0000-0000-000015000000}"/>
    <cellStyle name="Comma 5 4 2 2" xfId="219" xr:uid="{27CBEA72-E790-4AF5-B5F3-C7DE6C142223}"/>
    <cellStyle name="Comma 5 4 3" xfId="158" xr:uid="{00000000-0005-0000-0000-000016000000}"/>
    <cellStyle name="Comma 5 4 3 2" xfId="238" xr:uid="{4B68F9B3-FE61-47D7-B925-D42983027915}"/>
    <cellStyle name="Comma 5 4 4" xfId="205" xr:uid="{20E2715D-CE20-4CFD-B2C4-AA73C7172866}"/>
    <cellStyle name="Comma 5 5" xfId="104" xr:uid="{00000000-0005-0000-0000-000017000000}"/>
    <cellStyle name="Comma 5 5 2" xfId="207" xr:uid="{1BE5F75D-19E5-49E2-9EEE-F5E549A07F46}"/>
    <cellStyle name="Comma 5 6" xfId="117" xr:uid="{00000000-0005-0000-0000-000018000000}"/>
    <cellStyle name="Comma 5 6 2" xfId="218" xr:uid="{17458BC8-B4C5-47E6-ADDC-FC8A4EFAB48E}"/>
    <cellStyle name="Comma 5 7" xfId="152" xr:uid="{00000000-0005-0000-0000-000019000000}"/>
    <cellStyle name="Comma 5 7 2" xfId="232" xr:uid="{FCF1B370-C88F-48FF-BE01-B437A650C8BD}"/>
    <cellStyle name="Comma 5 8" xfId="199" xr:uid="{92352647-4253-4A52-BBB6-DFB51D32AED6}"/>
    <cellStyle name="Comma 6" xfId="62" xr:uid="{00000000-0005-0000-0000-00001A000000}"/>
    <cellStyle name="Comma 6 2" xfId="98" xr:uid="{00000000-0005-0000-0000-00001B000000}"/>
    <cellStyle name="Comma 6 3" xfId="105" xr:uid="{00000000-0005-0000-0000-00001C000000}"/>
    <cellStyle name="Comma 6 3 2" xfId="208" xr:uid="{2E135223-E4DC-4FF1-B73B-2A1D2E139CE9}"/>
    <cellStyle name="Comma 7" xfId="60" xr:uid="{00000000-0005-0000-0000-00001D000000}"/>
    <cellStyle name="Comma 7 2" xfId="96" xr:uid="{00000000-0005-0000-0000-00001E000000}"/>
    <cellStyle name="Comma 7 3" xfId="106" xr:uid="{00000000-0005-0000-0000-00001F000000}"/>
    <cellStyle name="Comma 7 3 2" xfId="209" xr:uid="{0426665C-8436-4D8E-8FCE-A0556043D2C8}"/>
    <cellStyle name="Comma 8" xfId="89" xr:uid="{00000000-0005-0000-0000-000020000000}"/>
    <cellStyle name="Comma 9" xfId="87" xr:uid="{00000000-0005-0000-0000-000021000000}"/>
    <cellStyle name="Comma 9 2" xfId="119" xr:uid="{00000000-0005-0000-0000-000022000000}"/>
    <cellStyle name="Comma 9 2 2" xfId="220" xr:uid="{7C1C1902-4E68-42B6-9B95-576AE74D2D9B}"/>
    <cellStyle name="Comma 9 3" xfId="154" xr:uid="{00000000-0005-0000-0000-000023000000}"/>
    <cellStyle name="Comma 9 3 2" xfId="234" xr:uid="{81380ECA-8FDB-4C51-AF6B-10ED326586A9}"/>
    <cellStyle name="Comma 9 4" xfId="201" xr:uid="{04363162-F01D-446A-8783-4C3FA2943587}"/>
    <cellStyle name="ContentsHyperlink" xfId="2" xr:uid="{00000000-0005-0000-0000-000024000000}"/>
    <cellStyle name="Currency" xfId="3" builtinId="4"/>
    <cellStyle name="Currency 10" xfId="120" xr:uid="{00000000-0005-0000-0000-000026000000}"/>
    <cellStyle name="Currency 11" xfId="240" xr:uid="{310BE6CC-EA77-41C2-B2D9-17022EF6B142}"/>
    <cellStyle name="Currency 2" xfId="36" xr:uid="{00000000-0005-0000-0000-000027000000}"/>
    <cellStyle name="Currency 2 2" xfId="41" xr:uid="{00000000-0005-0000-0000-000028000000}"/>
    <cellStyle name="Currency 3" xfId="44" xr:uid="{00000000-0005-0000-0000-000029000000}"/>
    <cellStyle name="Currency 3 2" xfId="46" xr:uid="{00000000-0005-0000-0000-00002A000000}"/>
    <cellStyle name="Currency 3 3" xfId="55" xr:uid="{00000000-0005-0000-0000-00002B000000}"/>
    <cellStyle name="Currency 4" xfId="56" xr:uid="{00000000-0005-0000-0000-00002C000000}"/>
    <cellStyle name="Currency 5" xfId="57" xr:uid="{00000000-0005-0000-0000-00002D000000}"/>
    <cellStyle name="Currency 5 2" xfId="64" xr:uid="{00000000-0005-0000-0000-00002E000000}"/>
    <cellStyle name="Currency 5 2 2" xfId="100" xr:uid="{00000000-0005-0000-0000-00002F000000}"/>
    <cellStyle name="Currency 5 3" xfId="108" xr:uid="{00000000-0005-0000-0000-000030000000}"/>
    <cellStyle name="Currency 5 3 2" xfId="211" xr:uid="{8CB6E263-88DE-456C-80BD-84FC33019D01}"/>
    <cellStyle name="Currency 6" xfId="65" xr:uid="{00000000-0005-0000-0000-000031000000}"/>
    <cellStyle name="Currency 6 2" xfId="101" xr:uid="{00000000-0005-0000-0000-000032000000}"/>
    <cellStyle name="Currency 6 3" xfId="109" xr:uid="{00000000-0005-0000-0000-000033000000}"/>
    <cellStyle name="Currency 6 3 2" xfId="212" xr:uid="{4099FD4A-3CBA-4075-977E-B8968D2DD651}"/>
    <cellStyle name="Currency 7" xfId="63" xr:uid="{00000000-0005-0000-0000-000034000000}"/>
    <cellStyle name="Currency 7 2" xfId="99" xr:uid="{00000000-0005-0000-0000-000035000000}"/>
    <cellStyle name="Currency 7 3" xfId="110" xr:uid="{00000000-0005-0000-0000-000036000000}"/>
    <cellStyle name="Currency 7 3 2" xfId="213" xr:uid="{B226C989-DBA0-40FC-B709-A34678B3DDAA}"/>
    <cellStyle name="Currency 8" xfId="90" xr:uid="{00000000-0005-0000-0000-000037000000}"/>
    <cellStyle name="Currency 9" xfId="107" xr:uid="{00000000-0005-0000-0000-000038000000}"/>
    <cellStyle name="Currency 9 2" xfId="210" xr:uid="{B66841D3-F0E1-4FCA-BB68-32C674D4B9B4}"/>
    <cellStyle name="Good" xfId="113" builtinId="26"/>
    <cellStyle name="Normal" xfId="0" builtinId="0"/>
    <cellStyle name="Normal 10" xfId="127" xr:uid="{00000000-0005-0000-0000-00003C000000}"/>
    <cellStyle name="Normal 10 2" xfId="226" xr:uid="{3053A281-08C0-485C-A72B-ADEF77348CCC}"/>
    <cellStyle name="Normal 11" xfId="195" xr:uid="{476E5A22-357E-4689-B487-1FD9016DABF4}"/>
    <cellStyle name="Normal 2" xfId="5" xr:uid="{00000000-0005-0000-0000-00003D000000}"/>
    <cellStyle name="Normal 2 2" xfId="38" xr:uid="{00000000-0005-0000-0000-00003E000000}"/>
    <cellStyle name="Normal 2_DSMRC Recoveries &amp; Sales" xfId="159" xr:uid="{00000000-0005-0000-0000-00003F000000}"/>
    <cellStyle name="Normal 3" xfId="39" xr:uid="{00000000-0005-0000-0000-000040000000}"/>
    <cellStyle name="Normal 4" xfId="47" xr:uid="{00000000-0005-0000-0000-000041000000}"/>
    <cellStyle name="Normal 4 2" xfId="58" xr:uid="{00000000-0005-0000-0000-000042000000}"/>
    <cellStyle name="Normal 5" xfId="48" xr:uid="{00000000-0005-0000-0000-000043000000}"/>
    <cellStyle name="Normal 5 2" xfId="92" xr:uid="{00000000-0005-0000-0000-000044000000}"/>
    <cellStyle name="Normal 5 2 2" xfId="122" xr:uid="{00000000-0005-0000-0000-000045000000}"/>
    <cellStyle name="Normal 5 2 2 2" xfId="222" xr:uid="{CB79E0BC-B24F-4101-BAFD-8A6AE0FC96D4}"/>
    <cellStyle name="Normal 5 2 3" xfId="155" xr:uid="{00000000-0005-0000-0000-000046000000}"/>
    <cellStyle name="Normal 5 2 3 2" xfId="235" xr:uid="{A1F73E6F-CE76-4DA2-A61F-A950A31455E1}"/>
    <cellStyle name="Normal 5 2 4" xfId="202" xr:uid="{572117A8-4EA5-48B1-AEF3-9290258CEAD9}"/>
    <cellStyle name="Normal 5 2_DSMRC Recoveries &amp; Sales" xfId="161" xr:uid="{00000000-0005-0000-0000-000047000000}"/>
    <cellStyle name="Normal 5 3" xfId="121" xr:uid="{00000000-0005-0000-0000-000048000000}"/>
    <cellStyle name="Normal 5 3 2" xfId="221" xr:uid="{E450BC13-64A4-4912-8626-A50EF8F53BD4}"/>
    <cellStyle name="Normal 5 4" xfId="149" xr:uid="{00000000-0005-0000-0000-000049000000}"/>
    <cellStyle name="Normal 5 4 2" xfId="229" xr:uid="{80DA5C44-CBC2-4819-A5A5-C90634C0338B}"/>
    <cellStyle name="Normal 5 5" xfId="196" xr:uid="{BB92B743-AA5F-4F6F-9742-A989164B3A68}"/>
    <cellStyle name="Normal 5_DSMRC Recoveries &amp; Sales" xfId="160" xr:uid="{00000000-0005-0000-0000-00004A000000}"/>
    <cellStyle name="Normal 6" xfId="50" xr:uid="{00000000-0005-0000-0000-00004B000000}"/>
    <cellStyle name="Normal 6 2" xfId="94" xr:uid="{00000000-0005-0000-0000-00004C000000}"/>
    <cellStyle name="Normal 6 2 2" xfId="124" xr:uid="{00000000-0005-0000-0000-00004D000000}"/>
    <cellStyle name="Normal 6 2 2 2" xfId="224" xr:uid="{4BF11052-DA71-41E4-9FB5-BB8545011208}"/>
    <cellStyle name="Normal 6 2 3" xfId="157" xr:uid="{00000000-0005-0000-0000-00004E000000}"/>
    <cellStyle name="Normal 6 2 3 2" xfId="237" xr:uid="{E7B6A71E-7BDE-4230-8499-12718F0B4165}"/>
    <cellStyle name="Normal 6 2 4" xfId="204" xr:uid="{FA164FE5-23FA-495F-9C5C-E102ED503FE0}"/>
    <cellStyle name="Normal 6 2_DSMRC Recoveries &amp; Sales" xfId="163" xr:uid="{00000000-0005-0000-0000-00004F000000}"/>
    <cellStyle name="Normal 6 3" xfId="123" xr:uid="{00000000-0005-0000-0000-000050000000}"/>
    <cellStyle name="Normal 6 3 2" xfId="223" xr:uid="{4C6AE86F-6076-4CBB-A4D1-BE10FCDF22EF}"/>
    <cellStyle name="Normal 6 4" xfId="151" xr:uid="{00000000-0005-0000-0000-000051000000}"/>
    <cellStyle name="Normal 6 4 2" xfId="231" xr:uid="{DD31ED2C-F072-4D07-AAAB-0E8D90DE0BA1}"/>
    <cellStyle name="Normal 6 5" xfId="198" xr:uid="{5E1FD0CA-7EFA-49BB-A588-0AFEFDC560BE}"/>
    <cellStyle name="Normal 6_DSMRC Recoveries &amp; Sales" xfId="162" xr:uid="{00000000-0005-0000-0000-000052000000}"/>
    <cellStyle name="Normal 7" xfId="88" xr:uid="{00000000-0005-0000-0000-000053000000}"/>
    <cellStyle name="Normal 8" xfId="67" xr:uid="{00000000-0005-0000-0000-000054000000}"/>
    <cellStyle name="Normal 8 2" xfId="125" xr:uid="{00000000-0005-0000-0000-000055000000}"/>
    <cellStyle name="Normal 8 2 2" xfId="225" xr:uid="{86E71FAB-4221-44F1-99FE-0E7CF0B2B9E2}"/>
    <cellStyle name="Normal 8 3" xfId="153" xr:uid="{00000000-0005-0000-0000-000056000000}"/>
    <cellStyle name="Normal 8 3 2" xfId="233" xr:uid="{F96601F2-EE97-4C39-967D-C0C173C4E234}"/>
    <cellStyle name="Normal 8 4" xfId="200" xr:uid="{1C946E5D-5FF9-4BB7-8809-4C3ABEED5F88}"/>
    <cellStyle name="Normal 8_DSMRC Recoveries &amp; Sales" xfId="164" xr:uid="{00000000-0005-0000-0000-000057000000}"/>
    <cellStyle name="Normal 9" xfId="129" xr:uid="{00000000-0005-0000-0000-000058000000}"/>
    <cellStyle name="Normal 9 2" xfId="228" xr:uid="{D624079C-C104-4243-B089-8B1983206E6B}"/>
    <cellStyle name="Percent" xfId="4" builtinId="5"/>
    <cellStyle name="Percent 2" xfId="37" xr:uid="{00000000-0005-0000-0000-00005A000000}"/>
    <cellStyle name="Percent 2 2" xfId="42" xr:uid="{00000000-0005-0000-0000-00005B000000}"/>
    <cellStyle name="Percent 3" xfId="59" xr:uid="{00000000-0005-0000-0000-00005C000000}"/>
    <cellStyle name="Percent 4" xfId="66" xr:uid="{00000000-0005-0000-0000-00005D000000}"/>
    <cellStyle name="Percent 4 2" xfId="102" xr:uid="{00000000-0005-0000-0000-00005E000000}"/>
    <cellStyle name="Percent 4 3" xfId="112" xr:uid="{00000000-0005-0000-0000-00005F000000}"/>
    <cellStyle name="Percent 4 3 2" xfId="215" xr:uid="{768E89AD-4879-466C-808D-9771A1C4D084}"/>
    <cellStyle name="Percent 5" xfId="91" xr:uid="{00000000-0005-0000-0000-000060000000}"/>
    <cellStyle name="Percent 6" xfId="111" xr:uid="{00000000-0005-0000-0000-000061000000}"/>
    <cellStyle name="Percent 6 2" xfId="214" xr:uid="{4610673C-3E7B-491F-83F7-45E8F770F457}"/>
    <cellStyle name="Percent 7" xfId="126" xr:uid="{00000000-0005-0000-0000-000062000000}"/>
    <cellStyle name="Percent 8" xfId="241" xr:uid="{87D3A191-0169-44CF-97CE-1AB3E2845E5B}"/>
    <cellStyle name="SAPBorder" xfId="6" xr:uid="{00000000-0005-0000-0000-000063000000}"/>
    <cellStyle name="SAPDataCell" xfId="7" xr:uid="{00000000-0005-0000-0000-000064000000}"/>
    <cellStyle name="SAPDataCell 2" xfId="69" xr:uid="{00000000-0005-0000-0000-000065000000}"/>
    <cellStyle name="SAPDataCell 3" xfId="130" xr:uid="{00000000-0005-0000-0000-000066000000}"/>
    <cellStyle name="SAPDataCell_DSMRC Recoveries &amp; Sales" xfId="165" xr:uid="{00000000-0005-0000-0000-000067000000}"/>
    <cellStyle name="SAPDataRemoved" xfId="193" xr:uid="{00000000-0005-0000-0000-000068000000}"/>
    <cellStyle name="SAPDataTotalCell" xfId="8" xr:uid="{00000000-0005-0000-0000-000069000000}"/>
    <cellStyle name="SAPDataTotalCell 2" xfId="70" xr:uid="{00000000-0005-0000-0000-00006A000000}"/>
    <cellStyle name="SAPDataTotalCell 3" xfId="131" xr:uid="{00000000-0005-0000-0000-00006B000000}"/>
    <cellStyle name="SAPDataTotalCell_DSMRC Recoveries &amp; Sales" xfId="166" xr:uid="{00000000-0005-0000-0000-00006C000000}"/>
    <cellStyle name="SAPDimensionCell" xfId="9" xr:uid="{00000000-0005-0000-0000-00006D000000}"/>
    <cellStyle name="SAPDimensionCell 2" xfId="68" xr:uid="{00000000-0005-0000-0000-00006E000000}"/>
    <cellStyle name="SAPDimensionCell 3" xfId="132" xr:uid="{00000000-0005-0000-0000-00006F000000}"/>
    <cellStyle name="SAPDimensionCell_DSMRC Recoveries &amp; Sales" xfId="167" xr:uid="{00000000-0005-0000-0000-000070000000}"/>
    <cellStyle name="SAPEditableDataCell" xfId="10" xr:uid="{00000000-0005-0000-0000-000071000000}"/>
    <cellStyle name="SAPEditableDataCell 2" xfId="71" xr:uid="{00000000-0005-0000-0000-000072000000}"/>
    <cellStyle name="SAPEditableDataCell 3" xfId="133" xr:uid="{00000000-0005-0000-0000-000073000000}"/>
    <cellStyle name="SAPEditableDataTotalCell" xfId="11" xr:uid="{00000000-0005-0000-0000-000074000000}"/>
    <cellStyle name="SAPEmphasized" xfId="12" xr:uid="{00000000-0005-0000-0000-000075000000}"/>
    <cellStyle name="SAPEmphasizedEditableDataCell" xfId="183" xr:uid="{00000000-0005-0000-0000-000076000000}"/>
    <cellStyle name="SAPEmphasizedEditableDataTotalCell" xfId="184" xr:uid="{00000000-0005-0000-0000-000077000000}"/>
    <cellStyle name="SAPEmphasizedLockedDataCell" xfId="185" xr:uid="{00000000-0005-0000-0000-000078000000}"/>
    <cellStyle name="SAPEmphasizedLockedDataTotalCell" xfId="186" xr:uid="{00000000-0005-0000-0000-000079000000}"/>
    <cellStyle name="SAPEmphasizedReadonlyDataCell" xfId="187" xr:uid="{00000000-0005-0000-0000-00007A000000}"/>
    <cellStyle name="SAPEmphasizedReadonlyDataTotalCell" xfId="188" xr:uid="{00000000-0005-0000-0000-00007B000000}"/>
    <cellStyle name="SAPEmphasizedTotal" xfId="189" xr:uid="{00000000-0005-0000-0000-00007C000000}"/>
    <cellStyle name="SAPError" xfId="194" xr:uid="{00000000-0005-0000-0000-00007D000000}"/>
    <cellStyle name="SAPExceptionLevel1" xfId="13" xr:uid="{00000000-0005-0000-0000-00007E000000}"/>
    <cellStyle name="SAPExceptionLevel1 2" xfId="75" xr:uid="{00000000-0005-0000-0000-00007F000000}"/>
    <cellStyle name="SAPExceptionLevel1 3" xfId="134" xr:uid="{00000000-0005-0000-0000-000080000000}"/>
    <cellStyle name="SAPExceptionLevel1_DSMRC Recoveries &amp; Sales" xfId="168" xr:uid="{00000000-0005-0000-0000-000081000000}"/>
    <cellStyle name="SAPExceptionLevel2" xfId="14" xr:uid="{00000000-0005-0000-0000-000082000000}"/>
    <cellStyle name="SAPExceptionLevel2 2" xfId="76" xr:uid="{00000000-0005-0000-0000-000083000000}"/>
    <cellStyle name="SAPExceptionLevel2 3" xfId="135" xr:uid="{00000000-0005-0000-0000-000084000000}"/>
    <cellStyle name="SAPExceptionLevel2_DSMRC Recoveries &amp; Sales" xfId="169" xr:uid="{00000000-0005-0000-0000-000085000000}"/>
    <cellStyle name="SAPExceptionLevel3" xfId="15" xr:uid="{00000000-0005-0000-0000-000086000000}"/>
    <cellStyle name="SAPExceptionLevel3 2" xfId="77" xr:uid="{00000000-0005-0000-0000-000087000000}"/>
    <cellStyle name="SAPExceptionLevel3 3" xfId="136" xr:uid="{00000000-0005-0000-0000-000088000000}"/>
    <cellStyle name="SAPExceptionLevel3_DSMRC Recoveries &amp; Sales" xfId="170" xr:uid="{00000000-0005-0000-0000-000089000000}"/>
    <cellStyle name="SAPExceptionLevel4" xfId="16" xr:uid="{00000000-0005-0000-0000-00008A000000}"/>
    <cellStyle name="SAPExceptionLevel4 2" xfId="78" xr:uid="{00000000-0005-0000-0000-00008B000000}"/>
    <cellStyle name="SAPExceptionLevel4 3" xfId="137" xr:uid="{00000000-0005-0000-0000-00008C000000}"/>
    <cellStyle name="SAPExceptionLevel4_DSMRC Recoveries &amp; Sales" xfId="171" xr:uid="{00000000-0005-0000-0000-00008D000000}"/>
    <cellStyle name="SAPExceptionLevel5" xfId="17" xr:uid="{00000000-0005-0000-0000-00008E000000}"/>
    <cellStyle name="SAPExceptionLevel5 2" xfId="79" xr:uid="{00000000-0005-0000-0000-00008F000000}"/>
    <cellStyle name="SAPExceptionLevel5 3" xfId="138" xr:uid="{00000000-0005-0000-0000-000090000000}"/>
    <cellStyle name="SAPExceptionLevel5_DSMRC Recoveries &amp; Sales" xfId="172" xr:uid="{00000000-0005-0000-0000-000091000000}"/>
    <cellStyle name="SAPExceptionLevel6" xfId="18" xr:uid="{00000000-0005-0000-0000-000092000000}"/>
    <cellStyle name="SAPExceptionLevel6 2" xfId="80" xr:uid="{00000000-0005-0000-0000-000093000000}"/>
    <cellStyle name="SAPExceptionLevel6 3" xfId="139" xr:uid="{00000000-0005-0000-0000-000094000000}"/>
    <cellStyle name="SAPExceptionLevel6_DSMRC Recoveries &amp; Sales" xfId="173" xr:uid="{00000000-0005-0000-0000-000095000000}"/>
    <cellStyle name="SAPExceptionLevel7" xfId="19" xr:uid="{00000000-0005-0000-0000-000096000000}"/>
    <cellStyle name="SAPExceptionLevel8" xfId="20" xr:uid="{00000000-0005-0000-0000-000097000000}"/>
    <cellStyle name="SAPExceptionLevel9" xfId="21" xr:uid="{00000000-0005-0000-0000-000098000000}"/>
    <cellStyle name="SAPFormula" xfId="190" xr:uid="{00000000-0005-0000-0000-000099000000}"/>
    <cellStyle name="SAPGroupingFillCell" xfId="192" xr:uid="{00000000-0005-0000-0000-00009A000000}"/>
    <cellStyle name="SAPHierarchyCell" xfId="22" xr:uid="{00000000-0005-0000-0000-00009B000000}"/>
    <cellStyle name="SAPHierarchyCell0" xfId="23" xr:uid="{00000000-0005-0000-0000-00009C000000}"/>
    <cellStyle name="SAPHierarchyCell0 2" xfId="83" xr:uid="{00000000-0005-0000-0000-00009D000000}"/>
    <cellStyle name="SAPHierarchyCell0 3" xfId="140" xr:uid="{00000000-0005-0000-0000-00009E000000}"/>
    <cellStyle name="SAPHierarchyCell0_DSMRC Recoveries &amp; Sales" xfId="174" xr:uid="{00000000-0005-0000-0000-00009F000000}"/>
    <cellStyle name="SAPHierarchyCell1" xfId="24" xr:uid="{00000000-0005-0000-0000-0000A0000000}"/>
    <cellStyle name="SAPHierarchyCell1 2" xfId="84" xr:uid="{00000000-0005-0000-0000-0000A1000000}"/>
    <cellStyle name="SAPHierarchyCell1 3" xfId="141" xr:uid="{00000000-0005-0000-0000-0000A2000000}"/>
    <cellStyle name="SAPHierarchyCell1_DSMRC Recoveries &amp; Sales" xfId="175" xr:uid="{00000000-0005-0000-0000-0000A3000000}"/>
    <cellStyle name="SAPHierarchyCell2" xfId="25" xr:uid="{00000000-0005-0000-0000-0000A4000000}"/>
    <cellStyle name="SAPHierarchyCell2 2" xfId="85" xr:uid="{00000000-0005-0000-0000-0000A5000000}"/>
    <cellStyle name="SAPHierarchyCell2 3" xfId="142" xr:uid="{00000000-0005-0000-0000-0000A6000000}"/>
    <cellStyle name="SAPHierarchyCell2_DSMRC Recoveries &amp; Sales" xfId="176" xr:uid="{00000000-0005-0000-0000-0000A7000000}"/>
    <cellStyle name="SAPHierarchyCell3" xfId="26" xr:uid="{00000000-0005-0000-0000-0000A8000000}"/>
    <cellStyle name="SAPHierarchyCell3 2" xfId="86" xr:uid="{00000000-0005-0000-0000-0000A9000000}"/>
    <cellStyle name="SAPHierarchyCell3 3" xfId="143" xr:uid="{00000000-0005-0000-0000-0000AA000000}"/>
    <cellStyle name="SAPHierarchyCell3_DSMRC Recoveries &amp; Sales" xfId="177" xr:uid="{00000000-0005-0000-0000-0000AB000000}"/>
    <cellStyle name="SAPHierarchyCell4" xfId="27" xr:uid="{00000000-0005-0000-0000-0000AC000000}"/>
    <cellStyle name="SAPHierarchyOddCell" xfId="28" xr:uid="{00000000-0005-0000-0000-0000AD000000}"/>
    <cellStyle name="SAPLockedDataCell" xfId="29" xr:uid="{00000000-0005-0000-0000-0000AE000000}"/>
    <cellStyle name="SAPLockedDataCell 2" xfId="72" xr:uid="{00000000-0005-0000-0000-0000AF000000}"/>
    <cellStyle name="SAPLockedDataCell 3" xfId="144" xr:uid="{00000000-0005-0000-0000-0000B0000000}"/>
    <cellStyle name="SAPLockedDataCell_DSMRC Recoveries &amp; Sales" xfId="178" xr:uid="{00000000-0005-0000-0000-0000B1000000}"/>
    <cellStyle name="SAPLockedDataTotalCell" xfId="30" xr:uid="{00000000-0005-0000-0000-0000B2000000}"/>
    <cellStyle name="SAPLockedDataTotalCell 2" xfId="74" xr:uid="{00000000-0005-0000-0000-0000B3000000}"/>
    <cellStyle name="SAPLockedDataTotalCell 3" xfId="145" xr:uid="{00000000-0005-0000-0000-0000B4000000}"/>
    <cellStyle name="SAPLockedDataTotalCell_DSMRC Recoveries &amp; Sales" xfId="179" xr:uid="{00000000-0005-0000-0000-0000B5000000}"/>
    <cellStyle name="SAPMemberCell" xfId="31" xr:uid="{00000000-0005-0000-0000-0000B6000000}"/>
    <cellStyle name="SAPMemberCell 2" xfId="81" xr:uid="{00000000-0005-0000-0000-0000B7000000}"/>
    <cellStyle name="SAPMemberCell 3" xfId="146" xr:uid="{00000000-0005-0000-0000-0000B8000000}"/>
    <cellStyle name="SAPMemberCell_DSMRC Recoveries &amp; Sales" xfId="180" xr:uid="{00000000-0005-0000-0000-0000B9000000}"/>
    <cellStyle name="SAPMemberTotalCell" xfId="32" xr:uid="{00000000-0005-0000-0000-0000BA000000}"/>
    <cellStyle name="SAPMemberTotalCell 2" xfId="82" xr:uid="{00000000-0005-0000-0000-0000BB000000}"/>
    <cellStyle name="SAPMemberTotalCell 3" xfId="147" xr:uid="{00000000-0005-0000-0000-0000BC000000}"/>
    <cellStyle name="SAPMemberTotalCell_DSMRC Recoveries &amp; Sales" xfId="181" xr:uid="{00000000-0005-0000-0000-0000BD000000}"/>
    <cellStyle name="SAPMessageText" xfId="191" xr:uid="{00000000-0005-0000-0000-0000BE000000}"/>
    <cellStyle name="SAPReadonlyDataCell" xfId="33" xr:uid="{00000000-0005-0000-0000-0000BF000000}"/>
    <cellStyle name="SAPReadonlyDataTotalCell" xfId="34" xr:uid="{00000000-0005-0000-0000-0000C0000000}"/>
    <cellStyle name="SAPReadonlyDataTotalCell 2" xfId="73" xr:uid="{00000000-0005-0000-0000-0000C1000000}"/>
    <cellStyle name="SAPReadonlyDataTotalCell 3" xfId="148" xr:uid="{00000000-0005-0000-0000-0000C2000000}"/>
    <cellStyle name="SAPReadonlyDataTotalCell_DSMRC Recoveries &amp; Sales" xfId="182" xr:uid="{00000000-0005-0000-0000-0000C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abSelected="1" view="pageBreakPreview" zoomScale="110" zoomScaleNormal="100" zoomScaleSheetLayoutView="110" workbookViewId="0">
      <selection activeCell="C31" sqref="C31"/>
    </sheetView>
  </sheetViews>
  <sheetFormatPr defaultRowHeight="12.75" x14ac:dyDescent="0.2"/>
  <cols>
    <col min="1" max="1" width="18.140625" customWidth="1"/>
    <col min="2" max="2" width="16.28515625" customWidth="1"/>
    <col min="3" max="5" width="16.42578125" customWidth="1"/>
    <col min="7" max="7" width="2.5703125" customWidth="1"/>
  </cols>
  <sheetData>
    <row r="1" spans="1:1" x14ac:dyDescent="0.2">
      <c r="A1" s="2" t="s">
        <v>7</v>
      </c>
    </row>
    <row r="2" spans="1:1" x14ac:dyDescent="0.2">
      <c r="A2" s="2" t="s">
        <v>18</v>
      </c>
    </row>
    <row r="3" spans="1:1" x14ac:dyDescent="0.2">
      <c r="A3" s="2" t="s">
        <v>32</v>
      </c>
    </row>
    <row r="4" spans="1:1" x14ac:dyDescent="0.2">
      <c r="A4" s="2" t="s">
        <v>33</v>
      </c>
    </row>
    <row r="5" spans="1:1" x14ac:dyDescent="0.2">
      <c r="A5" s="15" t="s">
        <v>111</v>
      </c>
    </row>
    <row r="6" spans="1:1" ht="6" customHeight="1" x14ac:dyDescent="0.2"/>
    <row r="7" spans="1:1" x14ac:dyDescent="0.2">
      <c r="A7" s="7" t="s">
        <v>34</v>
      </c>
    </row>
    <row r="8" spans="1:1" x14ac:dyDescent="0.2">
      <c r="A8" s="19" t="s">
        <v>51</v>
      </c>
    </row>
    <row r="9" spans="1:1" x14ac:dyDescent="0.2">
      <c r="A9" s="19" t="s">
        <v>52</v>
      </c>
    </row>
    <row r="10" spans="1:1" x14ac:dyDescent="0.2">
      <c r="A10" s="19" t="s">
        <v>53</v>
      </c>
    </row>
    <row r="11" spans="1:1" x14ac:dyDescent="0.2">
      <c r="A11" s="19" t="s">
        <v>54</v>
      </c>
    </row>
    <row r="12" spans="1:1" x14ac:dyDescent="0.2">
      <c r="A12" s="19" t="s">
        <v>55</v>
      </c>
    </row>
    <row r="13" spans="1:1" x14ac:dyDescent="0.2">
      <c r="A13" s="19" t="s">
        <v>56</v>
      </c>
    </row>
    <row r="14" spans="1:1" x14ac:dyDescent="0.2">
      <c r="A14" s="19" t="s">
        <v>57</v>
      </c>
    </row>
    <row r="15" spans="1:1" ht="7.5" customHeight="1" x14ac:dyDescent="0.2"/>
    <row r="16" spans="1:1" x14ac:dyDescent="0.2">
      <c r="A16" s="2" t="s">
        <v>48</v>
      </c>
    </row>
    <row r="17" spans="1:8" ht="25.5" x14ac:dyDescent="0.2">
      <c r="A17" s="3" t="s">
        <v>35</v>
      </c>
      <c r="B17" s="3" t="s">
        <v>12</v>
      </c>
      <c r="C17" s="3" t="s">
        <v>36</v>
      </c>
      <c r="D17" s="3" t="s">
        <v>37</v>
      </c>
      <c r="E17" s="3" t="s">
        <v>38</v>
      </c>
    </row>
    <row r="18" spans="1:8" x14ac:dyDescent="0.2">
      <c r="B18" s="1" t="s">
        <v>25</v>
      </c>
      <c r="C18" s="1" t="s">
        <v>26</v>
      </c>
      <c r="D18" s="1" t="s">
        <v>27</v>
      </c>
      <c r="E18" s="1" t="s">
        <v>28</v>
      </c>
    </row>
    <row r="19" spans="1:8" ht="15" x14ac:dyDescent="0.25">
      <c r="A19" s="30">
        <v>1</v>
      </c>
      <c r="B19" s="23">
        <v>44440</v>
      </c>
      <c r="C19" s="139">
        <v>0</v>
      </c>
      <c r="D19" s="138">
        <v>0.13855000000000001</v>
      </c>
      <c r="E19" s="134">
        <f t="shared" ref="E19:E25" si="0">ROUND(C19*D19,2)</f>
        <v>0</v>
      </c>
      <c r="H19" s="5"/>
    </row>
    <row r="20" spans="1:8" ht="15" x14ac:dyDescent="0.25">
      <c r="A20" s="30">
        <v>2</v>
      </c>
      <c r="B20" s="133">
        <f>EDATE(B19,1)</f>
        <v>44470</v>
      </c>
      <c r="C20" s="139">
        <f>'DSMRC Costs'!V14</f>
        <v>0</v>
      </c>
      <c r="D20" s="138">
        <v>0.13855000000000001</v>
      </c>
      <c r="E20" s="134">
        <f t="shared" si="0"/>
        <v>0</v>
      </c>
      <c r="H20" s="5"/>
    </row>
    <row r="21" spans="1:8" ht="15" x14ac:dyDescent="0.25">
      <c r="A21" s="30">
        <v>3</v>
      </c>
      <c r="B21" s="133">
        <f t="shared" ref="B21:B30" si="1">EDATE(B20,1)</f>
        <v>44501</v>
      </c>
      <c r="C21" s="139">
        <f>'DSMRC Costs'!V15</f>
        <v>0</v>
      </c>
      <c r="D21" s="138">
        <v>0.13855000000000001</v>
      </c>
      <c r="E21" s="134">
        <f t="shared" si="0"/>
        <v>0</v>
      </c>
      <c r="H21" s="5"/>
    </row>
    <row r="22" spans="1:8" ht="15" x14ac:dyDescent="0.25">
      <c r="A22" s="30">
        <v>4</v>
      </c>
      <c r="B22" s="133">
        <f t="shared" si="1"/>
        <v>44531</v>
      </c>
      <c r="C22" s="139">
        <f>'DSMRC Costs'!V16</f>
        <v>0</v>
      </c>
      <c r="D22" s="138">
        <v>0.13855000000000001</v>
      </c>
      <c r="E22" s="134">
        <f t="shared" si="0"/>
        <v>0</v>
      </c>
      <c r="H22" s="5"/>
    </row>
    <row r="23" spans="1:8" ht="15" x14ac:dyDescent="0.25">
      <c r="A23" s="30">
        <v>5</v>
      </c>
      <c r="B23" s="133">
        <f t="shared" si="1"/>
        <v>44562</v>
      </c>
      <c r="C23" s="139">
        <f>'DSMRC Costs'!V19</f>
        <v>0</v>
      </c>
      <c r="D23" s="138">
        <v>0.13855000000000001</v>
      </c>
      <c r="E23" s="134">
        <f t="shared" si="0"/>
        <v>0</v>
      </c>
      <c r="H23" s="5"/>
    </row>
    <row r="24" spans="1:8" ht="15" x14ac:dyDescent="0.25">
      <c r="A24" s="30">
        <v>6</v>
      </c>
      <c r="B24" s="133">
        <f t="shared" si="1"/>
        <v>44593</v>
      </c>
      <c r="C24" s="139">
        <f>'DSMRC Costs'!V20</f>
        <v>0</v>
      </c>
      <c r="D24" s="138">
        <v>0.13855000000000001</v>
      </c>
      <c r="E24" s="134">
        <f t="shared" si="0"/>
        <v>0</v>
      </c>
      <c r="H24" s="5"/>
    </row>
    <row r="25" spans="1:8" ht="15" x14ac:dyDescent="0.25">
      <c r="A25" s="30">
        <v>7</v>
      </c>
      <c r="B25" s="133">
        <f t="shared" si="1"/>
        <v>44621</v>
      </c>
      <c r="C25" s="139">
        <f>'DSMRC Costs'!V21</f>
        <v>0</v>
      </c>
      <c r="D25" s="138">
        <v>0.13855000000000001</v>
      </c>
      <c r="E25" s="134">
        <f t="shared" si="0"/>
        <v>0</v>
      </c>
      <c r="H25" s="5"/>
    </row>
    <row r="26" spans="1:8" ht="15" x14ac:dyDescent="0.25">
      <c r="A26" s="30">
        <v>8</v>
      </c>
      <c r="B26" s="133">
        <f t="shared" si="1"/>
        <v>44652</v>
      </c>
      <c r="C26" s="139">
        <f>'DSMRC Costs'!V22</f>
        <v>252.89999999999998</v>
      </c>
      <c r="D26" s="138">
        <v>0.13855000000000001</v>
      </c>
      <c r="E26" s="134">
        <f t="shared" ref="E26:E30" si="2">ROUND(C26*D26,2)</f>
        <v>35.04</v>
      </c>
      <c r="H26" s="5"/>
    </row>
    <row r="27" spans="1:8" s="58" customFormat="1" ht="15" x14ac:dyDescent="0.25">
      <c r="A27" s="30">
        <v>9</v>
      </c>
      <c r="B27" s="133">
        <f t="shared" si="1"/>
        <v>44682</v>
      </c>
      <c r="C27" s="175">
        <f>'DSMRC Costs'!V23</f>
        <v>0</v>
      </c>
      <c r="D27" s="174">
        <v>0.15483</v>
      </c>
      <c r="E27" s="134">
        <f t="shared" si="2"/>
        <v>0</v>
      </c>
      <c r="H27" s="59"/>
    </row>
    <row r="28" spans="1:8" s="58" customFormat="1" ht="15" x14ac:dyDescent="0.25">
      <c r="A28" s="30">
        <v>10</v>
      </c>
      <c r="B28" s="133">
        <f t="shared" si="1"/>
        <v>44713</v>
      </c>
      <c r="C28" s="175">
        <f>'DSMRC Costs'!V24</f>
        <v>1011.5999999999999</v>
      </c>
      <c r="D28" s="174">
        <v>0.15483</v>
      </c>
      <c r="E28" s="134">
        <f t="shared" si="2"/>
        <v>156.63</v>
      </c>
      <c r="H28" s="59"/>
    </row>
    <row r="29" spans="1:8" s="58" customFormat="1" ht="15" x14ac:dyDescent="0.25">
      <c r="A29" s="30">
        <v>11</v>
      </c>
      <c r="B29" s="133">
        <f t="shared" si="1"/>
        <v>44743</v>
      </c>
      <c r="C29" s="175">
        <f>'DSMRC Costs'!V25</f>
        <v>0</v>
      </c>
      <c r="D29" s="174">
        <v>0.15483</v>
      </c>
      <c r="E29" s="134">
        <f t="shared" si="2"/>
        <v>0</v>
      </c>
      <c r="H29" s="59"/>
    </row>
    <row r="30" spans="1:8" s="58" customFormat="1" ht="15" x14ac:dyDescent="0.25">
      <c r="A30" s="30">
        <v>12</v>
      </c>
      <c r="B30" s="133">
        <f t="shared" si="1"/>
        <v>44774</v>
      </c>
      <c r="C30" s="175">
        <f>'DSMRC Costs'!V26</f>
        <v>0</v>
      </c>
      <c r="D30" s="174">
        <v>0.15483</v>
      </c>
      <c r="E30" s="134">
        <f t="shared" si="2"/>
        <v>0</v>
      </c>
      <c r="H30" s="59"/>
    </row>
    <row r="31" spans="1:8" x14ac:dyDescent="0.2">
      <c r="A31" s="1">
        <v>13</v>
      </c>
      <c r="B31" s="4" t="s">
        <v>39</v>
      </c>
      <c r="E31" s="52">
        <f>SUM(E19:E30)</f>
        <v>191.67</v>
      </c>
      <c r="H31" s="5"/>
    </row>
    <row r="32" spans="1:8" x14ac:dyDescent="0.2">
      <c r="A32" s="1"/>
    </row>
    <row r="33" spans="1:5" x14ac:dyDescent="0.2">
      <c r="A33" s="1">
        <v>14</v>
      </c>
      <c r="B33" t="s">
        <v>13</v>
      </c>
      <c r="E33" s="5">
        <f>'2022'!G25</f>
        <v>9515029.5999999996</v>
      </c>
    </row>
    <row r="34" spans="1:5" x14ac:dyDescent="0.2">
      <c r="A34" s="1"/>
    </row>
    <row r="35" spans="1:5" x14ac:dyDescent="0.2">
      <c r="A35" s="1">
        <v>15</v>
      </c>
      <c r="B35" t="s">
        <v>40</v>
      </c>
      <c r="E35" s="6">
        <f>ROUND(E31/E33,4)</f>
        <v>0</v>
      </c>
    </row>
    <row r="36" spans="1:5" x14ac:dyDescent="0.2">
      <c r="A36" s="1"/>
    </row>
    <row r="37" spans="1:5" s="20" customFormat="1" x14ac:dyDescent="0.2">
      <c r="A37" s="1"/>
    </row>
    <row r="38" spans="1:5" s="20" customFormat="1" x14ac:dyDescent="0.2">
      <c r="A38" s="1"/>
    </row>
    <row r="39" spans="1:5" s="20" customFormat="1" x14ac:dyDescent="0.2">
      <c r="A39" s="1"/>
    </row>
    <row r="40" spans="1:5" ht="25.5" x14ac:dyDescent="0.2">
      <c r="A40" s="2" t="s">
        <v>49</v>
      </c>
      <c r="B40" s="3" t="s">
        <v>12</v>
      </c>
      <c r="C40" s="3" t="s">
        <v>36</v>
      </c>
      <c r="D40" s="3" t="s">
        <v>37</v>
      </c>
      <c r="E40" s="3" t="s">
        <v>38</v>
      </c>
    </row>
    <row r="41" spans="1:5" x14ac:dyDescent="0.2">
      <c r="A41" s="3" t="s">
        <v>35</v>
      </c>
      <c r="B41" s="1" t="s">
        <v>25</v>
      </c>
      <c r="C41" s="1" t="s">
        <v>26</v>
      </c>
      <c r="D41" s="1" t="s">
        <v>27</v>
      </c>
      <c r="E41" s="1" t="s">
        <v>28</v>
      </c>
    </row>
    <row r="42" spans="1:5" ht="15" x14ac:dyDescent="0.25">
      <c r="A42" s="30">
        <v>1</v>
      </c>
      <c r="B42" s="133">
        <f>+B19</f>
        <v>44440</v>
      </c>
      <c r="C42" s="139">
        <f>'DSMRC Costs'!W13</f>
        <v>0</v>
      </c>
      <c r="D42" s="138">
        <v>0.13855000000000001</v>
      </c>
      <c r="E42" s="134">
        <f t="shared" ref="E42:E48" si="3">ROUND(C42*D42,2)</f>
        <v>0</v>
      </c>
    </row>
    <row r="43" spans="1:5" ht="15" x14ac:dyDescent="0.25">
      <c r="A43" s="30">
        <v>2</v>
      </c>
      <c r="B43" s="133">
        <f t="shared" ref="B43:B53" si="4">B20</f>
        <v>44470</v>
      </c>
      <c r="C43" s="139">
        <f>'DSMRC Costs'!W14</f>
        <v>0</v>
      </c>
      <c r="D43" s="138">
        <v>0.13855000000000001</v>
      </c>
      <c r="E43" s="134">
        <f t="shared" si="3"/>
        <v>0</v>
      </c>
    </row>
    <row r="44" spans="1:5" ht="15" x14ac:dyDescent="0.25">
      <c r="A44" s="30">
        <v>3</v>
      </c>
      <c r="B44" s="133">
        <f t="shared" si="4"/>
        <v>44501</v>
      </c>
      <c r="C44" s="139">
        <f>'DSMRC Costs'!W15</f>
        <v>0</v>
      </c>
      <c r="D44" s="138">
        <v>0.13855000000000001</v>
      </c>
      <c r="E44" s="134">
        <f t="shared" si="3"/>
        <v>0</v>
      </c>
    </row>
    <row r="45" spans="1:5" ht="15" x14ac:dyDescent="0.25">
      <c r="A45" s="30">
        <v>4</v>
      </c>
      <c r="B45" s="133">
        <f t="shared" si="4"/>
        <v>44531</v>
      </c>
      <c r="C45" s="139">
        <f>'DSMRC Costs'!W16</f>
        <v>0</v>
      </c>
      <c r="D45" s="138">
        <v>0.13855000000000001</v>
      </c>
      <c r="E45" s="134">
        <f t="shared" si="3"/>
        <v>0</v>
      </c>
    </row>
    <row r="46" spans="1:5" ht="15" x14ac:dyDescent="0.25">
      <c r="A46" s="30">
        <v>5</v>
      </c>
      <c r="B46" s="133">
        <f t="shared" si="4"/>
        <v>44562</v>
      </c>
      <c r="C46" s="139">
        <f>'DSMRC Costs'!W19</f>
        <v>0</v>
      </c>
      <c r="D46" s="138">
        <v>0.13855000000000001</v>
      </c>
      <c r="E46" s="134">
        <f t="shared" si="3"/>
        <v>0</v>
      </c>
    </row>
    <row r="47" spans="1:5" ht="15" x14ac:dyDescent="0.25">
      <c r="A47" s="30">
        <v>6</v>
      </c>
      <c r="B47" s="133">
        <f t="shared" si="4"/>
        <v>44593</v>
      </c>
      <c r="C47" s="139">
        <f>'DSMRC Costs'!W20</f>
        <v>0</v>
      </c>
      <c r="D47" s="138">
        <v>0.13855000000000001</v>
      </c>
      <c r="E47" s="134">
        <f t="shared" si="3"/>
        <v>0</v>
      </c>
    </row>
    <row r="48" spans="1:5" ht="15" x14ac:dyDescent="0.25">
      <c r="A48" s="30">
        <v>7</v>
      </c>
      <c r="B48" s="133">
        <f t="shared" si="4"/>
        <v>44621</v>
      </c>
      <c r="C48" s="139">
        <f>'DSMRC Costs'!W21</f>
        <v>0</v>
      </c>
      <c r="D48" s="138">
        <v>0.13855000000000001</v>
      </c>
      <c r="E48" s="134">
        <f t="shared" si="3"/>
        <v>0</v>
      </c>
    </row>
    <row r="49" spans="1:5" ht="15" x14ac:dyDescent="0.25">
      <c r="A49" s="30">
        <v>8</v>
      </c>
      <c r="B49" s="133">
        <f t="shared" si="4"/>
        <v>44652</v>
      </c>
      <c r="C49" s="139">
        <f>'DSMRC Costs'!W22</f>
        <v>0</v>
      </c>
      <c r="D49" s="138">
        <v>0.13855000000000001</v>
      </c>
      <c r="E49" s="134">
        <f t="shared" ref="E49:E53" si="5">ROUND(C49*D49,2)</f>
        <v>0</v>
      </c>
    </row>
    <row r="50" spans="1:5" s="58" customFormat="1" ht="15" x14ac:dyDescent="0.25">
      <c r="A50" s="30">
        <v>9</v>
      </c>
      <c r="B50" s="133">
        <f t="shared" si="4"/>
        <v>44682</v>
      </c>
      <c r="C50" s="175">
        <f>'DSMRC Costs'!W23</f>
        <v>0</v>
      </c>
      <c r="D50" s="174">
        <v>0.15483</v>
      </c>
      <c r="E50" s="134">
        <f t="shared" si="5"/>
        <v>0</v>
      </c>
    </row>
    <row r="51" spans="1:5" s="58" customFormat="1" ht="15" x14ac:dyDescent="0.25">
      <c r="A51" s="30">
        <v>10</v>
      </c>
      <c r="B51" s="133">
        <f t="shared" si="4"/>
        <v>44713</v>
      </c>
      <c r="C51" s="175">
        <f>'DSMRC Costs'!W24</f>
        <v>0</v>
      </c>
      <c r="D51" s="174">
        <v>0.15483</v>
      </c>
      <c r="E51" s="134">
        <f t="shared" si="5"/>
        <v>0</v>
      </c>
    </row>
    <row r="52" spans="1:5" s="58" customFormat="1" ht="15" x14ac:dyDescent="0.25">
      <c r="A52" s="30">
        <v>11</v>
      </c>
      <c r="B52" s="133">
        <f t="shared" si="4"/>
        <v>44743</v>
      </c>
      <c r="C52" s="175">
        <f>'DSMRC Costs'!W25</f>
        <v>0</v>
      </c>
      <c r="D52" s="174">
        <v>0.15483</v>
      </c>
      <c r="E52" s="134">
        <f t="shared" si="5"/>
        <v>0</v>
      </c>
    </row>
    <row r="53" spans="1:5" s="58" customFormat="1" ht="15" x14ac:dyDescent="0.25">
      <c r="A53" s="30">
        <v>12</v>
      </c>
      <c r="B53" s="133">
        <f t="shared" si="4"/>
        <v>44774</v>
      </c>
      <c r="C53" s="175">
        <f>'DSMRC Costs'!W26</f>
        <v>0</v>
      </c>
      <c r="D53" s="174">
        <v>0.15483</v>
      </c>
      <c r="E53" s="134">
        <f t="shared" si="5"/>
        <v>0</v>
      </c>
    </row>
    <row r="54" spans="1:5" ht="15" x14ac:dyDescent="0.25">
      <c r="A54" s="30">
        <v>13</v>
      </c>
      <c r="B54" s="135" t="s">
        <v>39</v>
      </c>
      <c r="C54" s="175"/>
      <c r="D54" s="26"/>
      <c r="E54" s="136">
        <f>SUM(E42:E53)</f>
        <v>0</v>
      </c>
    </row>
    <row r="55" spans="1:5" x14ac:dyDescent="0.2">
      <c r="A55" s="1"/>
    </row>
    <row r="56" spans="1:5" x14ac:dyDescent="0.2">
      <c r="A56" s="1">
        <v>14</v>
      </c>
      <c r="B56" t="s">
        <v>47</v>
      </c>
      <c r="E56" s="5">
        <f>'2022'!G62</f>
        <v>0</v>
      </c>
    </row>
    <row r="57" spans="1:5" x14ac:dyDescent="0.2">
      <c r="A57" s="1"/>
    </row>
    <row r="58" spans="1:5" x14ac:dyDescent="0.2">
      <c r="A58" s="1">
        <v>15</v>
      </c>
      <c r="B58" t="s">
        <v>40</v>
      </c>
      <c r="E58" s="6">
        <f>IFERROR(ROUND(E54/E56,4),0)</f>
        <v>0</v>
      </c>
    </row>
    <row r="59" spans="1:5" x14ac:dyDescent="0.2">
      <c r="A59" s="1"/>
    </row>
    <row r="60" spans="1:5" x14ac:dyDescent="0.2">
      <c r="A60" s="1"/>
    </row>
  </sheetData>
  <phoneticPr fontId="12" type="noConversion"/>
  <pageMargins left="0.5" right="0.5" top="0.5" bottom="0.5" header="0.3" footer="0.3"/>
  <pageSetup scale="96" orientation="portrait" r:id="rId1"/>
  <headerFooter alignWithMargins="0"/>
  <rowBreaks count="1" manualBreakCount="1">
    <brk id="38" max="6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1"/>
  <sheetViews>
    <sheetView showGridLines="0" view="pageBreakPreview" zoomScaleNormal="100" zoomScaleSheetLayoutView="100" zoomScalePageLayoutView="70" workbookViewId="0">
      <selection activeCell="M15" sqref="M15"/>
    </sheetView>
  </sheetViews>
  <sheetFormatPr defaultRowHeight="12.75" x14ac:dyDescent="0.2"/>
  <cols>
    <col min="1" max="1" width="33" style="26" customWidth="1"/>
    <col min="2" max="2" width="7.7109375" style="26" bestFit="1" customWidth="1"/>
    <col min="3" max="3" width="17.42578125" style="26" bestFit="1" customWidth="1"/>
    <col min="4" max="5" width="13.5703125" style="26" bestFit="1" customWidth="1"/>
    <col min="6" max="6" width="16.140625" style="26" bestFit="1" customWidth="1"/>
    <col min="7" max="7" width="12.140625" style="26" bestFit="1" customWidth="1"/>
    <col min="8" max="9" width="11.140625" style="22" bestFit="1" customWidth="1"/>
    <col min="10" max="10" width="11.5703125" style="22" bestFit="1" customWidth="1"/>
    <col min="11" max="11" width="9.140625" style="26"/>
    <col min="12" max="12" width="12.28515625" style="26" customWidth="1"/>
    <col min="13" max="13" width="11.7109375" style="26" bestFit="1" customWidth="1"/>
    <col min="14" max="14" width="5.7109375" style="26" customWidth="1"/>
    <col min="15" max="16" width="12.28515625" style="26" bestFit="1" customWidth="1"/>
    <col min="17" max="16384" width="9.140625" style="26"/>
  </cols>
  <sheetData>
    <row r="1" spans="1:14" ht="15" x14ac:dyDescent="0.2">
      <c r="A1" s="198" t="s">
        <v>24</v>
      </c>
      <c r="B1" s="198"/>
      <c r="C1" s="198"/>
      <c r="D1" s="198"/>
      <c r="E1" s="198"/>
      <c r="F1" s="198"/>
      <c r="G1" s="32"/>
    </row>
    <row r="2" spans="1:14" ht="15" x14ac:dyDescent="0.2">
      <c r="A2" s="143" t="s">
        <v>18</v>
      </c>
      <c r="B2" s="143"/>
      <c r="C2" s="143"/>
      <c r="D2" s="143"/>
      <c r="E2" s="143"/>
      <c r="F2" s="143"/>
      <c r="G2" s="32"/>
    </row>
    <row r="3" spans="1:14" ht="15" x14ac:dyDescent="0.2">
      <c r="A3" s="198" t="s">
        <v>1</v>
      </c>
      <c r="B3" s="198"/>
      <c r="C3" s="198"/>
      <c r="D3" s="198"/>
      <c r="E3" s="198"/>
      <c r="F3" s="198"/>
      <c r="G3" s="32"/>
    </row>
    <row r="4" spans="1:14" x14ac:dyDescent="0.2">
      <c r="G4" s="32"/>
    </row>
    <row r="5" spans="1:14" ht="15.75" x14ac:dyDescent="0.25">
      <c r="A5" s="45" t="s">
        <v>19</v>
      </c>
      <c r="G5" s="32"/>
    </row>
    <row r="6" spans="1:14" x14ac:dyDescent="0.2">
      <c r="G6" s="32"/>
    </row>
    <row r="7" spans="1:14" ht="15.75" x14ac:dyDescent="0.25">
      <c r="A7" s="45" t="s">
        <v>50</v>
      </c>
      <c r="C7" s="30" t="s">
        <v>25</v>
      </c>
      <c r="D7" s="30" t="s">
        <v>26</v>
      </c>
      <c r="E7" s="30" t="s">
        <v>27</v>
      </c>
      <c r="F7" s="31" t="s">
        <v>28</v>
      </c>
      <c r="G7" s="30" t="s">
        <v>29</v>
      </c>
      <c r="H7" s="33" t="s">
        <v>30</v>
      </c>
      <c r="I7" s="33" t="s">
        <v>31</v>
      </c>
      <c r="J7" s="16" t="s">
        <v>41</v>
      </c>
    </row>
    <row r="8" spans="1:14" x14ac:dyDescent="0.2">
      <c r="F8" s="30" t="s">
        <v>5</v>
      </c>
      <c r="G8" s="32"/>
    </row>
    <row r="9" spans="1:14" x14ac:dyDescent="0.2">
      <c r="C9" s="30" t="s">
        <v>2</v>
      </c>
      <c r="D9" s="30" t="s">
        <v>2</v>
      </c>
      <c r="E9" s="10" t="s">
        <v>44</v>
      </c>
      <c r="F9" s="30" t="s">
        <v>2</v>
      </c>
      <c r="G9" s="31" t="s">
        <v>8</v>
      </c>
      <c r="H9" s="33" t="s">
        <v>14</v>
      </c>
      <c r="I9" s="33" t="s">
        <v>16</v>
      </c>
      <c r="J9" s="33" t="s">
        <v>15</v>
      </c>
    </row>
    <row r="10" spans="1:14" x14ac:dyDescent="0.2">
      <c r="C10" s="34" t="s">
        <v>0</v>
      </c>
      <c r="D10" s="34" t="s">
        <v>3</v>
      </c>
      <c r="E10" s="34" t="s">
        <v>42</v>
      </c>
      <c r="F10" s="34" t="s">
        <v>4</v>
      </c>
      <c r="G10" s="35" t="s">
        <v>9</v>
      </c>
      <c r="H10" s="36" t="s">
        <v>15</v>
      </c>
      <c r="I10" s="36" t="s">
        <v>15</v>
      </c>
      <c r="J10" s="36" t="s">
        <v>17</v>
      </c>
    </row>
    <row r="11" spans="1:14" x14ac:dyDescent="0.2">
      <c r="A11" s="26" t="s">
        <v>6</v>
      </c>
      <c r="C11" s="34"/>
      <c r="D11" s="34"/>
      <c r="E11" s="34"/>
      <c r="F11" s="11">
        <v>-123893.37729999998</v>
      </c>
      <c r="G11" s="31" t="s">
        <v>10</v>
      </c>
    </row>
    <row r="12" spans="1:14" ht="6" customHeight="1" x14ac:dyDescent="0.2">
      <c r="C12" s="34"/>
      <c r="D12" s="34"/>
      <c r="E12" s="34"/>
      <c r="F12" s="12"/>
      <c r="G12" s="31"/>
    </row>
    <row r="13" spans="1:14" ht="15" x14ac:dyDescent="0.25">
      <c r="B13" s="23">
        <v>44440</v>
      </c>
      <c r="C13" s="56">
        <v>-843.5100000000001</v>
      </c>
      <c r="D13" s="140">
        <v>0</v>
      </c>
      <c r="E13" s="24">
        <f>E$25*(G13/G$25)</f>
        <v>2.1522268428468196</v>
      </c>
      <c r="F13" s="24">
        <f>SUM(C13:E13)</f>
        <v>-841.35777315715325</v>
      </c>
      <c r="G13" s="55">
        <v>162691.70000000001</v>
      </c>
      <c r="H13" s="137">
        <f>-C13/G13</f>
        <v>5.1847144015336986E-3</v>
      </c>
      <c r="I13" s="132">
        <v>5.3E-3</v>
      </c>
      <c r="J13" s="22">
        <f>H13-I13</f>
        <v>-1.1528559846630138E-4</v>
      </c>
      <c r="L13" s="17"/>
      <c r="M13" s="29"/>
      <c r="N13" s="42"/>
    </row>
    <row r="14" spans="1:14" ht="15" x14ac:dyDescent="0.25">
      <c r="B14" s="8">
        <f>EDATE(B13,1)</f>
        <v>44470</v>
      </c>
      <c r="C14" s="56">
        <v>-521.36</v>
      </c>
      <c r="D14" s="140">
        <f>'DSMRC Costs'!Y14</f>
        <v>0</v>
      </c>
      <c r="E14" s="24">
        <f t="shared" ref="E14:E24" si="0">E$25*(G14/G$25)</f>
        <v>2.4016968145934134</v>
      </c>
      <c r="F14" s="24">
        <f>SUM(C14:E14)</f>
        <v>-518.95830318540663</v>
      </c>
      <c r="G14" s="55">
        <v>181549.7</v>
      </c>
      <c r="H14" s="137">
        <f>-C14/G14</f>
        <v>2.8717205261148872E-3</v>
      </c>
      <c r="I14" s="173">
        <v>0</v>
      </c>
      <c r="J14" s="22">
        <f t="shared" ref="J14:J24" si="1">H14-I14</f>
        <v>2.8717205261148872E-3</v>
      </c>
      <c r="L14" s="17"/>
      <c r="M14" s="29"/>
      <c r="N14" s="42"/>
    </row>
    <row r="15" spans="1:14" ht="15" x14ac:dyDescent="0.25">
      <c r="B15" s="8">
        <f t="shared" ref="B15:B24" si="2">EDATE(B14,1)</f>
        <v>44501</v>
      </c>
      <c r="C15" s="56">
        <v>-34.28</v>
      </c>
      <c r="D15" s="140">
        <f>'DSMRC Costs'!Y15</f>
        <v>0</v>
      </c>
      <c r="E15" s="24">
        <f t="shared" si="0"/>
        <v>8.3619746963095238</v>
      </c>
      <c r="F15" s="24">
        <f t="shared" ref="F15:F24" si="3">SUM(C15:E15)</f>
        <v>-25.918025303690477</v>
      </c>
      <c r="G15" s="55">
        <v>632100.6</v>
      </c>
      <c r="H15" s="137">
        <f t="shared" ref="H15:H19" si="4">-C15/G15</f>
        <v>5.4231873850459884E-5</v>
      </c>
      <c r="I15" s="173">
        <v>0</v>
      </c>
      <c r="J15" s="22">
        <f t="shared" si="1"/>
        <v>5.4231873850459884E-5</v>
      </c>
      <c r="L15" s="17"/>
      <c r="M15" s="29"/>
      <c r="N15" s="42"/>
    </row>
    <row r="16" spans="1:14" ht="15" x14ac:dyDescent="0.25">
      <c r="B16" s="8">
        <f t="shared" si="2"/>
        <v>44531</v>
      </c>
      <c r="C16" s="56">
        <v>-23.65</v>
      </c>
      <c r="D16" s="140">
        <f>'DSMRC Costs'!Y16</f>
        <v>0</v>
      </c>
      <c r="E16" s="24">
        <f t="shared" si="0"/>
        <v>17.332138610408137</v>
      </c>
      <c r="F16" s="24">
        <f t="shared" si="3"/>
        <v>-6.3178613895918616</v>
      </c>
      <c r="G16" s="55">
        <v>1310175.6000000001</v>
      </c>
      <c r="H16" s="137">
        <f t="shared" si="4"/>
        <v>1.8051015451669225E-5</v>
      </c>
      <c r="I16" s="173">
        <v>0</v>
      </c>
      <c r="J16" s="22">
        <f t="shared" si="1"/>
        <v>1.8051015451669225E-5</v>
      </c>
      <c r="L16" s="17"/>
      <c r="M16" s="29"/>
      <c r="N16" s="42"/>
    </row>
    <row r="17" spans="1:16" ht="15" x14ac:dyDescent="0.25">
      <c r="B17" s="8">
        <f t="shared" si="2"/>
        <v>44562</v>
      </c>
      <c r="C17" s="56">
        <v>-11.54</v>
      </c>
      <c r="D17" s="140">
        <f>'DSMRC Costs'!Y19</f>
        <v>0</v>
      </c>
      <c r="E17" s="24">
        <f t="shared" si="0"/>
        <v>22.061223048519825</v>
      </c>
      <c r="F17" s="24">
        <f t="shared" si="3"/>
        <v>10.521223048519825</v>
      </c>
      <c r="G17" s="55">
        <v>1667657.8</v>
      </c>
      <c r="H17" s="137">
        <f t="shared" si="4"/>
        <v>6.919884882857861E-6</v>
      </c>
      <c r="I17" s="173">
        <v>0</v>
      </c>
      <c r="J17" s="22">
        <f t="shared" si="1"/>
        <v>6.919884882857861E-6</v>
      </c>
      <c r="L17" s="17"/>
      <c r="M17" s="29"/>
      <c r="N17" s="42"/>
    </row>
    <row r="18" spans="1:16" ht="15" x14ac:dyDescent="0.25">
      <c r="B18" s="8">
        <f t="shared" si="2"/>
        <v>44593</v>
      </c>
      <c r="C18" s="56">
        <v>-15.53</v>
      </c>
      <c r="D18" s="140">
        <f>'DSMRC Costs'!Y20</f>
        <v>0</v>
      </c>
      <c r="E18" s="24">
        <f t="shared" si="0"/>
        <v>28.728153927148316</v>
      </c>
      <c r="F18" s="24">
        <f t="shared" si="3"/>
        <v>13.198153927148317</v>
      </c>
      <c r="G18" s="55">
        <v>2171626.2000000002</v>
      </c>
      <c r="H18" s="137">
        <f t="shared" si="4"/>
        <v>7.1513228197375763E-6</v>
      </c>
      <c r="I18" s="173">
        <v>0</v>
      </c>
      <c r="J18" s="22">
        <f t="shared" si="1"/>
        <v>7.1513228197375763E-6</v>
      </c>
      <c r="L18" s="17"/>
      <c r="M18" s="29"/>
      <c r="N18" s="42"/>
    </row>
    <row r="19" spans="1:16" ht="15" x14ac:dyDescent="0.25">
      <c r="B19" s="8">
        <f t="shared" si="2"/>
        <v>44621</v>
      </c>
      <c r="C19" s="56">
        <v>-24.04</v>
      </c>
      <c r="D19" s="140">
        <f>'DSMRC Costs'!Y21</f>
        <v>0</v>
      </c>
      <c r="E19" s="24">
        <f t="shared" si="0"/>
        <v>18.994865629172008</v>
      </c>
      <c r="F19" s="24">
        <f t="shared" si="3"/>
        <v>-5.0451343708279914</v>
      </c>
      <c r="G19" s="55">
        <v>1435864.9</v>
      </c>
      <c r="H19" s="137">
        <f t="shared" si="4"/>
        <v>1.6742522224758052E-5</v>
      </c>
      <c r="I19" s="173">
        <v>0</v>
      </c>
      <c r="J19" s="22">
        <f t="shared" si="1"/>
        <v>1.6742522224758052E-5</v>
      </c>
      <c r="L19" s="17"/>
      <c r="M19" s="29"/>
      <c r="N19" s="42"/>
    </row>
    <row r="20" spans="1:16" ht="15" x14ac:dyDescent="0.25">
      <c r="B20" s="8">
        <f t="shared" si="2"/>
        <v>44652</v>
      </c>
      <c r="C20" s="56">
        <v>-11.93</v>
      </c>
      <c r="D20" s="140">
        <f>'DSMRC Costs'!Y22</f>
        <v>3000</v>
      </c>
      <c r="E20" s="24">
        <f t="shared" si="0"/>
        <v>14.066636474723548</v>
      </c>
      <c r="F20" s="24">
        <f t="shared" si="3"/>
        <v>3002.1366364747237</v>
      </c>
      <c r="G20" s="55">
        <v>1063328.8999999999</v>
      </c>
      <c r="H20" s="137">
        <f>-C20/G20</f>
        <v>1.1219482513829917E-5</v>
      </c>
      <c r="I20" s="173">
        <v>0</v>
      </c>
      <c r="J20" s="22">
        <f t="shared" si="1"/>
        <v>1.1219482513829917E-5</v>
      </c>
      <c r="L20" s="17"/>
      <c r="M20" s="29"/>
      <c r="N20" s="42"/>
      <c r="P20" s="42"/>
    </row>
    <row r="21" spans="1:16" ht="15" x14ac:dyDescent="0.25">
      <c r="B21" s="8">
        <f t="shared" si="2"/>
        <v>44682</v>
      </c>
      <c r="C21" s="56">
        <v>-876.11</v>
      </c>
      <c r="D21" s="176">
        <f>'DSMRC Costs'!Y23</f>
        <v>0</v>
      </c>
      <c r="E21" s="24">
        <f t="shared" si="0"/>
        <v>5.4168796852772889</v>
      </c>
      <c r="F21" s="24">
        <f t="shared" si="3"/>
        <v>-870.69312031472271</v>
      </c>
      <c r="G21" s="55">
        <v>409474.2</v>
      </c>
      <c r="H21" s="137">
        <f t="shared" ref="H21:H24" si="5">-C21/G21</f>
        <v>2.1395975619465158E-3</v>
      </c>
      <c r="I21" s="137">
        <v>9.4999999999999998E-3</v>
      </c>
      <c r="J21" s="22">
        <f t="shared" si="1"/>
        <v>-7.3604024380534844E-3</v>
      </c>
      <c r="L21" s="17"/>
      <c r="M21" s="29"/>
      <c r="N21" s="42"/>
      <c r="P21" s="42"/>
    </row>
    <row r="22" spans="1:16" ht="15" x14ac:dyDescent="0.25">
      <c r="B22" s="8">
        <f t="shared" si="2"/>
        <v>44713</v>
      </c>
      <c r="C22" s="56">
        <v>-1629.3400000000001</v>
      </c>
      <c r="D22" s="140">
        <f>'DSMRC Costs'!Y24</f>
        <v>4753.3500000000004</v>
      </c>
      <c r="E22" s="24">
        <f t="shared" si="0"/>
        <v>2.4806466921723547</v>
      </c>
      <c r="F22" s="24">
        <f t="shared" si="3"/>
        <v>3126.4906466921725</v>
      </c>
      <c r="G22" s="55">
        <v>187517.7</v>
      </c>
      <c r="H22" s="137">
        <f t="shared" si="5"/>
        <v>8.6889930923854126E-3</v>
      </c>
      <c r="I22" s="137">
        <f t="shared" ref="I22:I24" si="6">I21</f>
        <v>9.4999999999999998E-3</v>
      </c>
      <c r="J22" s="22">
        <f t="shared" si="1"/>
        <v>-8.1100690761458719E-4</v>
      </c>
      <c r="L22" s="17"/>
      <c r="M22" s="29"/>
      <c r="N22" s="42"/>
      <c r="P22" s="42"/>
    </row>
    <row r="23" spans="1:16" ht="15" x14ac:dyDescent="0.25">
      <c r="B23" s="8">
        <f t="shared" si="2"/>
        <v>44743</v>
      </c>
      <c r="C23" s="56">
        <v>-1473.5900000000001</v>
      </c>
      <c r="D23" s="140">
        <f>'DSMRC Costs'!Y25</f>
        <v>0</v>
      </c>
      <c r="E23" s="24">
        <f t="shared" si="0"/>
        <v>2.0344674384828014</v>
      </c>
      <c r="F23" s="24">
        <f t="shared" si="3"/>
        <v>-1471.5555325615173</v>
      </c>
      <c r="G23" s="55">
        <v>153790</v>
      </c>
      <c r="H23" s="137">
        <f t="shared" si="5"/>
        <v>9.5818323688146179E-3</v>
      </c>
      <c r="I23" s="137">
        <f t="shared" si="6"/>
        <v>9.4999999999999998E-3</v>
      </c>
      <c r="J23" s="22">
        <f t="shared" si="1"/>
        <v>8.1832368814618167E-5</v>
      </c>
      <c r="L23" s="17"/>
      <c r="M23" s="29"/>
      <c r="N23" s="42"/>
      <c r="P23" s="42"/>
    </row>
    <row r="24" spans="1:16" ht="15" x14ac:dyDescent="0.25">
      <c r="B24" s="8">
        <f t="shared" si="2"/>
        <v>44774</v>
      </c>
      <c r="C24" s="56">
        <v>-1336.43</v>
      </c>
      <c r="D24" s="140">
        <f>'DSMRC Costs'!Y26</f>
        <v>0</v>
      </c>
      <c r="E24" s="24">
        <f t="shared" si="0"/>
        <v>1.8421501403461771</v>
      </c>
      <c r="F24" s="24">
        <f t="shared" si="3"/>
        <v>-1334.5878498596539</v>
      </c>
      <c r="G24" s="55">
        <v>139252.29999999999</v>
      </c>
      <c r="H24" s="137">
        <f t="shared" si="5"/>
        <v>9.5971843912093392E-3</v>
      </c>
      <c r="I24" s="137">
        <f t="shared" si="6"/>
        <v>9.4999999999999998E-3</v>
      </c>
      <c r="J24" s="22">
        <f t="shared" si="1"/>
        <v>9.7184391209339388E-5</v>
      </c>
      <c r="L24" s="17"/>
      <c r="M24" s="53"/>
      <c r="N24" s="42"/>
      <c r="P24" s="42"/>
    </row>
    <row r="25" spans="1:16" ht="15" x14ac:dyDescent="0.25">
      <c r="C25" s="37">
        <f>SUM(C13:C24)</f>
        <v>-6801.3100000000013</v>
      </c>
      <c r="D25" s="142">
        <f>SUM(D13:D24)</f>
        <v>7753.35</v>
      </c>
      <c r="E25" s="57">
        <f>+'DIA + DLSA Revenue'!B12+'DIA + DLSA Revenue'!B14</f>
        <v>125.87306000000021</v>
      </c>
      <c r="F25" s="37">
        <f>SUM(F11:F24)</f>
        <v>-122815.46423999999</v>
      </c>
      <c r="G25" s="38">
        <f>SUM(G13:G24)</f>
        <v>9515029.5999999996</v>
      </c>
      <c r="M25" s="27"/>
    </row>
    <row r="26" spans="1:16" ht="5.25" customHeight="1" x14ac:dyDescent="0.2">
      <c r="C26" s="29"/>
      <c r="D26" s="29"/>
      <c r="E26" s="29"/>
      <c r="F26" s="29"/>
      <c r="G26" s="32"/>
    </row>
    <row r="27" spans="1:16" x14ac:dyDescent="0.2">
      <c r="A27" s="18" t="str">
        <f>CONCATENATE("Annual Average Commercial Paper Rate at ",TEXT(EDATE(B24,1), "MMMM YYYY"))</f>
        <v>Annual Average Commercial Paper Rate at September 2022</v>
      </c>
      <c r="B27" s="13"/>
      <c r="C27" s="13"/>
      <c r="E27" s="170">
        <v>2.8199999999999999E-2</v>
      </c>
      <c r="F27" s="14">
        <f>ROUND((F25/12*8)*E27,2)</f>
        <v>-2308.9299999999998</v>
      </c>
      <c r="G27" s="39"/>
    </row>
    <row r="28" spans="1:16" x14ac:dyDescent="0.2">
      <c r="A28" s="26" t="s">
        <v>45</v>
      </c>
      <c r="F28" s="40">
        <f>SUM(F25:F27)</f>
        <v>-125124.39423999998</v>
      </c>
      <c r="G28" s="41"/>
    </row>
    <row r="29" spans="1:16" ht="5.25" customHeight="1" x14ac:dyDescent="0.2">
      <c r="G29" s="32"/>
    </row>
    <row r="30" spans="1:16" x14ac:dyDescent="0.2">
      <c r="A30" s="26" t="s">
        <v>13</v>
      </c>
      <c r="D30" s="42"/>
      <c r="E30" s="42"/>
      <c r="F30" s="25">
        <f>G25</f>
        <v>9515029.5999999996</v>
      </c>
    </row>
    <row r="31" spans="1:16" ht="5.25" customHeight="1" x14ac:dyDescent="0.2">
      <c r="G31" s="32"/>
    </row>
    <row r="32" spans="1:16" x14ac:dyDescent="0.2">
      <c r="A32" s="26" t="s">
        <v>23</v>
      </c>
      <c r="F32" s="21">
        <f>ROUND(F28/F30,4)</f>
        <v>-1.32E-2</v>
      </c>
      <c r="G32" s="43"/>
      <c r="J32" s="44"/>
    </row>
    <row r="33" spans="1:14" ht="5.25" customHeight="1" x14ac:dyDescent="0.2">
      <c r="F33" s="21"/>
      <c r="G33" s="32"/>
    </row>
    <row r="34" spans="1:14" x14ac:dyDescent="0.2">
      <c r="A34" s="26" t="s">
        <v>21</v>
      </c>
      <c r="C34" s="46"/>
      <c r="F34" s="21">
        <f>ROUND((180000/F30),4)</f>
        <v>1.89E-2</v>
      </c>
      <c r="G34" s="21"/>
      <c r="J34" s="44"/>
    </row>
    <row r="35" spans="1:14" ht="5.25" customHeight="1" x14ac:dyDescent="0.2">
      <c r="F35" s="21"/>
      <c r="G35" s="32"/>
    </row>
    <row r="36" spans="1:14" x14ac:dyDescent="0.2">
      <c r="A36" s="26" t="s">
        <v>20</v>
      </c>
      <c r="F36" s="21">
        <f>ROUND(DLSA!E35,4)</f>
        <v>0</v>
      </c>
      <c r="G36" s="32"/>
      <c r="J36" s="44"/>
    </row>
    <row r="37" spans="1:14" ht="5.25" customHeight="1" x14ac:dyDescent="0.2">
      <c r="A37" s="47"/>
      <c r="B37" s="47"/>
      <c r="F37" s="21"/>
      <c r="G37" s="32"/>
    </row>
    <row r="38" spans="1:14" x14ac:dyDescent="0.2">
      <c r="A38" s="26" t="s">
        <v>22</v>
      </c>
      <c r="F38" s="21">
        <f>IF('DIA + DLSA Revenue'!B12&gt;0,ROUND(('DIA + DLSA Revenue'!B12/F30),4),0)</f>
        <v>0</v>
      </c>
      <c r="G38" s="21"/>
      <c r="J38" s="44"/>
    </row>
    <row r="39" spans="1:14" ht="5.25" customHeight="1" x14ac:dyDescent="0.2">
      <c r="F39" s="21"/>
      <c r="G39" s="32"/>
    </row>
    <row r="40" spans="1:14" ht="13.5" thickBot="1" x14ac:dyDescent="0.25">
      <c r="A40" s="26" t="s">
        <v>11</v>
      </c>
      <c r="F40" s="48">
        <f>SUM(F32:F39)</f>
        <v>5.7000000000000002E-3</v>
      </c>
      <c r="J40" s="44"/>
      <c r="N40" s="49"/>
    </row>
    <row r="41" spans="1:14" ht="13.5" thickTop="1" x14ac:dyDescent="0.2"/>
    <row r="42" spans="1:14" x14ac:dyDescent="0.2">
      <c r="A42" s="50"/>
    </row>
    <row r="44" spans="1:14" ht="15.75" x14ac:dyDescent="0.25">
      <c r="A44" s="45" t="s">
        <v>49</v>
      </c>
      <c r="C44" s="30" t="s">
        <v>25</v>
      </c>
      <c r="D44" s="30" t="s">
        <v>26</v>
      </c>
      <c r="E44" s="30" t="s">
        <v>27</v>
      </c>
      <c r="F44" s="31" t="s">
        <v>28</v>
      </c>
      <c r="G44" s="178"/>
      <c r="H44" s="179"/>
      <c r="I44" s="179"/>
      <c r="J44" s="180"/>
    </row>
    <row r="45" spans="1:14" x14ac:dyDescent="0.2">
      <c r="F45" s="30" t="s">
        <v>5</v>
      </c>
      <c r="G45" s="181"/>
      <c r="H45" s="182"/>
      <c r="I45" s="182"/>
      <c r="J45" s="182"/>
    </row>
    <row r="46" spans="1:14" x14ac:dyDescent="0.2">
      <c r="C46" s="30" t="s">
        <v>2</v>
      </c>
      <c r="D46" s="30" t="s">
        <v>2</v>
      </c>
      <c r="E46" s="10" t="s">
        <v>44</v>
      </c>
      <c r="F46" s="30" t="s">
        <v>2</v>
      </c>
      <c r="G46" s="183"/>
      <c r="H46" s="179"/>
      <c r="I46" s="179"/>
      <c r="J46" s="179"/>
    </row>
    <row r="47" spans="1:14" x14ac:dyDescent="0.2">
      <c r="C47" s="34" t="s">
        <v>0</v>
      </c>
      <c r="D47" s="34" t="s">
        <v>3</v>
      </c>
      <c r="E47" s="34" t="s">
        <v>42</v>
      </c>
      <c r="F47" s="34" t="s">
        <v>4</v>
      </c>
      <c r="G47" s="184"/>
      <c r="H47" s="185"/>
      <c r="I47" s="185"/>
      <c r="J47" s="185"/>
    </row>
    <row r="48" spans="1:14" x14ac:dyDescent="0.2">
      <c r="A48" s="26" t="s">
        <v>6</v>
      </c>
      <c r="C48" s="34"/>
      <c r="D48" s="34"/>
      <c r="E48" s="34"/>
      <c r="F48" s="11">
        <v>-25887.95</v>
      </c>
      <c r="G48" s="186"/>
      <c r="H48" s="182"/>
      <c r="I48" s="182"/>
      <c r="J48" s="182"/>
    </row>
    <row r="49" spans="1:14" ht="6" customHeight="1" x14ac:dyDescent="0.2">
      <c r="C49" s="34"/>
      <c r="D49" s="34"/>
      <c r="E49" s="34"/>
      <c r="F49" s="12"/>
      <c r="G49" s="186"/>
      <c r="H49" s="182"/>
      <c r="I49" s="182"/>
      <c r="J49" s="182"/>
    </row>
    <row r="50" spans="1:14" ht="15" x14ac:dyDescent="0.25">
      <c r="B50" s="8">
        <f>B13</f>
        <v>44440</v>
      </c>
      <c r="C50" s="56">
        <v>1014.47</v>
      </c>
      <c r="D50" s="140">
        <f>'DSMRC Costs'!AA13</f>
        <v>0</v>
      </c>
      <c r="E50" s="24">
        <v>0</v>
      </c>
      <c r="F50" s="24">
        <f>SUM(C50:E50)</f>
        <v>1014.47</v>
      </c>
      <c r="G50" s="187"/>
      <c r="H50" s="188"/>
      <c r="I50" s="189"/>
      <c r="J50" s="182"/>
      <c r="L50" s="9"/>
      <c r="M50" s="28"/>
      <c r="N50" s="42"/>
    </row>
    <row r="51" spans="1:14" ht="15" x14ac:dyDescent="0.25">
      <c r="B51" s="8">
        <f t="shared" ref="B51:B61" si="7">B14</f>
        <v>44470</v>
      </c>
      <c r="C51" s="56">
        <v>691.42</v>
      </c>
      <c r="D51" s="140">
        <f>'DSMRC Costs'!AA14</f>
        <v>0</v>
      </c>
      <c r="E51" s="172">
        <v>0</v>
      </c>
      <c r="F51" s="24">
        <f t="shared" ref="F51:F56" si="8">SUM(C51:E51)</f>
        <v>691.42</v>
      </c>
      <c r="G51" s="187"/>
      <c r="H51" s="188"/>
      <c r="I51" s="188"/>
      <c r="J51" s="182"/>
      <c r="L51" s="9"/>
      <c r="M51" s="29"/>
      <c r="N51" s="42"/>
    </row>
    <row r="52" spans="1:14" ht="15" x14ac:dyDescent="0.25">
      <c r="B52" s="8">
        <f t="shared" si="7"/>
        <v>44501</v>
      </c>
      <c r="C52" s="56">
        <v>33.619999999999997</v>
      </c>
      <c r="D52" s="140">
        <f>'DSMRC Costs'!AA15</f>
        <v>0</v>
      </c>
      <c r="E52" s="172">
        <v>0</v>
      </c>
      <c r="F52" s="24">
        <f t="shared" si="8"/>
        <v>33.619999999999997</v>
      </c>
      <c r="G52" s="187"/>
      <c r="H52" s="188"/>
      <c r="I52" s="188"/>
      <c r="J52" s="182"/>
      <c r="L52" s="9"/>
      <c r="M52" s="29"/>
      <c r="N52" s="42"/>
    </row>
    <row r="53" spans="1:14" ht="15" x14ac:dyDescent="0.25">
      <c r="B53" s="8">
        <f t="shared" si="7"/>
        <v>44531</v>
      </c>
      <c r="C53" s="56">
        <v>5.0199999999999996</v>
      </c>
      <c r="D53" s="140">
        <f>'DSMRC Costs'!AA16</f>
        <v>0</v>
      </c>
      <c r="E53" s="172">
        <v>0</v>
      </c>
      <c r="F53" s="24">
        <f t="shared" si="8"/>
        <v>5.0199999999999996</v>
      </c>
      <c r="G53" s="187"/>
      <c r="H53" s="188"/>
      <c r="I53" s="188"/>
      <c r="J53" s="182"/>
      <c r="L53" s="9"/>
      <c r="M53" s="29"/>
      <c r="N53" s="42"/>
    </row>
    <row r="54" spans="1:14" ht="15" x14ac:dyDescent="0.25">
      <c r="B54" s="8">
        <f t="shared" si="7"/>
        <v>44562</v>
      </c>
      <c r="C54" s="56">
        <v>0.27</v>
      </c>
      <c r="D54" s="140">
        <f>'DSMRC Costs'!AA19</f>
        <v>0</v>
      </c>
      <c r="E54" s="172">
        <v>0</v>
      </c>
      <c r="F54" s="24">
        <f>SUM(C54:E54)</f>
        <v>0.27</v>
      </c>
      <c r="G54" s="187"/>
      <c r="H54" s="188"/>
      <c r="I54" s="188"/>
      <c r="J54" s="182"/>
      <c r="L54" s="9"/>
      <c r="M54" s="29"/>
      <c r="N54" s="42"/>
    </row>
    <row r="55" spans="1:14" ht="15" x14ac:dyDescent="0.25">
      <c r="B55" s="8">
        <f t="shared" si="7"/>
        <v>44593</v>
      </c>
      <c r="C55" s="56">
        <v>0</v>
      </c>
      <c r="D55" s="140">
        <f>'DSMRC Costs'!AA20</f>
        <v>0</v>
      </c>
      <c r="E55" s="172">
        <v>0</v>
      </c>
      <c r="F55" s="24">
        <f t="shared" si="8"/>
        <v>0</v>
      </c>
      <c r="G55" s="187"/>
      <c r="H55" s="188"/>
      <c r="I55" s="188"/>
      <c r="J55" s="182"/>
      <c r="L55" s="9"/>
      <c r="M55" s="29"/>
      <c r="N55" s="42"/>
    </row>
    <row r="56" spans="1:14" ht="15" x14ac:dyDescent="0.25">
      <c r="B56" s="8">
        <f t="shared" si="7"/>
        <v>44621</v>
      </c>
      <c r="C56" s="56">
        <v>1.31</v>
      </c>
      <c r="D56" s="140">
        <f>'DSMRC Costs'!AA21</f>
        <v>0</v>
      </c>
      <c r="E56" s="172">
        <v>0</v>
      </c>
      <c r="F56" s="24">
        <f t="shared" si="8"/>
        <v>1.31</v>
      </c>
      <c r="G56" s="187"/>
      <c r="H56" s="188"/>
      <c r="I56" s="188"/>
      <c r="J56" s="182"/>
      <c r="L56" s="9"/>
      <c r="M56" s="29"/>
      <c r="N56" s="42"/>
    </row>
    <row r="57" spans="1:14" ht="15" x14ac:dyDescent="0.25">
      <c r="B57" s="8">
        <f t="shared" si="7"/>
        <v>44652</v>
      </c>
      <c r="C57" s="56">
        <v>-0.03</v>
      </c>
      <c r="D57" s="140">
        <f>'DSMRC Costs'!AA22</f>
        <v>0</v>
      </c>
      <c r="E57" s="172">
        <v>0</v>
      </c>
      <c r="F57" s="24">
        <f>SUM(C57:E57)</f>
        <v>-0.03</v>
      </c>
      <c r="G57" s="187"/>
      <c r="H57" s="188"/>
      <c r="I57" s="188"/>
      <c r="J57" s="182"/>
      <c r="L57" s="9"/>
      <c r="M57" s="29"/>
    </row>
    <row r="58" spans="1:14" ht="15" x14ac:dyDescent="0.25">
      <c r="A58" s="51"/>
      <c r="B58" s="8">
        <f t="shared" si="7"/>
        <v>44682</v>
      </c>
      <c r="C58" s="56">
        <v>383.55</v>
      </c>
      <c r="D58" s="140">
        <f>'DSMRC Costs'!AA23</f>
        <v>0</v>
      </c>
      <c r="E58" s="172">
        <v>0</v>
      </c>
      <c r="F58" s="24">
        <f t="shared" ref="F58:F61" si="9">SUM(C58:E58)</f>
        <v>383.55</v>
      </c>
      <c r="G58" s="187"/>
      <c r="H58" s="188"/>
      <c r="I58" s="188"/>
      <c r="J58" s="182"/>
      <c r="L58" s="9"/>
      <c r="M58" s="29"/>
    </row>
    <row r="59" spans="1:14" ht="15" x14ac:dyDescent="0.25">
      <c r="A59" s="51"/>
      <c r="B59" s="8">
        <f t="shared" si="7"/>
        <v>44713</v>
      </c>
      <c r="C59" s="56">
        <v>928.18</v>
      </c>
      <c r="D59" s="140">
        <f>'DSMRC Costs'!AA24</f>
        <v>0</v>
      </c>
      <c r="E59" s="172">
        <v>0</v>
      </c>
      <c r="F59" s="24">
        <f t="shared" si="9"/>
        <v>928.18</v>
      </c>
      <c r="G59" s="187"/>
      <c r="H59" s="188"/>
      <c r="I59" s="188"/>
      <c r="J59" s="182"/>
      <c r="L59" s="9"/>
      <c r="M59" s="29"/>
    </row>
    <row r="60" spans="1:14" ht="15" x14ac:dyDescent="0.25">
      <c r="A60" s="51"/>
      <c r="B60" s="8">
        <f t="shared" si="7"/>
        <v>44743</v>
      </c>
      <c r="C60" s="56">
        <v>855.49</v>
      </c>
      <c r="D60" s="140">
        <f>'DSMRC Costs'!AA25</f>
        <v>0</v>
      </c>
      <c r="E60" s="172">
        <v>0</v>
      </c>
      <c r="F60" s="24">
        <f t="shared" si="9"/>
        <v>855.49</v>
      </c>
      <c r="G60" s="187"/>
      <c r="H60" s="188"/>
      <c r="I60" s="188"/>
      <c r="J60" s="182"/>
      <c r="L60" s="9"/>
      <c r="M60" s="29"/>
    </row>
    <row r="61" spans="1:14" ht="15" x14ac:dyDescent="0.25">
      <c r="A61" s="51"/>
      <c r="B61" s="8">
        <f t="shared" si="7"/>
        <v>44774</v>
      </c>
      <c r="C61" s="56">
        <v>775.32</v>
      </c>
      <c r="D61" s="140">
        <f>'DSMRC Costs'!AA26</f>
        <v>0</v>
      </c>
      <c r="E61" s="172">
        <v>0</v>
      </c>
      <c r="F61" s="24">
        <f t="shared" si="9"/>
        <v>775.32</v>
      </c>
      <c r="G61" s="187"/>
      <c r="H61" s="188"/>
      <c r="I61" s="188"/>
      <c r="J61" s="182"/>
      <c r="L61" s="9"/>
      <c r="M61" s="29"/>
    </row>
    <row r="62" spans="1:14" ht="15" x14ac:dyDescent="0.25">
      <c r="C62" s="37">
        <f>SUM(C50:C61)</f>
        <v>4688.619999999999</v>
      </c>
      <c r="D62" s="177">
        <f>SUM(D50:D61)</f>
        <v>0</v>
      </c>
      <c r="E62" s="57">
        <f>+'DIA + DLSA Revenue'!C12+'DIA + DLSA Revenue'!C14</f>
        <v>0</v>
      </c>
      <c r="F62" s="37">
        <f>SUM(F48:F61)</f>
        <v>-21199.329999999998</v>
      </c>
      <c r="G62" s="190"/>
      <c r="H62" s="182"/>
      <c r="I62" s="182"/>
      <c r="J62" s="182"/>
    </row>
    <row r="63" spans="1:14" x14ac:dyDescent="0.2">
      <c r="C63" s="29"/>
      <c r="D63" s="29"/>
      <c r="E63" s="29"/>
      <c r="F63" s="29"/>
      <c r="G63" s="32"/>
    </row>
    <row r="64" spans="1:14" x14ac:dyDescent="0.2">
      <c r="A64" s="18" t="str">
        <f>A27</f>
        <v>Annual Average Commercial Paper Rate at September 2022</v>
      </c>
      <c r="B64" s="13"/>
      <c r="C64" s="13"/>
      <c r="E64" s="171">
        <f>E27</f>
        <v>2.8199999999999999E-2</v>
      </c>
      <c r="F64" s="14">
        <f>ROUND((F62/12*8)*E64,2)</f>
        <v>-398.55</v>
      </c>
      <c r="G64" s="39"/>
    </row>
    <row r="65" spans="1:10" x14ac:dyDescent="0.2">
      <c r="A65" s="26" t="s">
        <v>46</v>
      </c>
      <c r="F65" s="40">
        <f>SUM(F62:F64)</f>
        <v>-21597.879999999997</v>
      </c>
      <c r="G65" s="195" t="s">
        <v>117</v>
      </c>
    </row>
    <row r="66" spans="1:10" x14ac:dyDescent="0.2">
      <c r="G66" s="32"/>
    </row>
    <row r="67" spans="1:10" x14ac:dyDescent="0.2">
      <c r="A67" s="196" t="s">
        <v>119</v>
      </c>
      <c r="H67" s="26"/>
      <c r="I67" s="26"/>
      <c r="J67" s="26"/>
    </row>
    <row r="68" spans="1:10" x14ac:dyDescent="0.2">
      <c r="A68" s="197" t="s">
        <v>120</v>
      </c>
      <c r="G68" s="32"/>
    </row>
    <row r="69" spans="1:10" x14ac:dyDescent="0.2">
      <c r="A69" s="197" t="s">
        <v>118</v>
      </c>
    </row>
    <row r="70" spans="1:10" ht="15" x14ac:dyDescent="0.2">
      <c r="A70" s="199"/>
      <c r="B70" s="199"/>
      <c r="C70" s="199"/>
      <c r="D70" s="199"/>
      <c r="E70" s="199"/>
      <c r="F70" s="199"/>
      <c r="G70" s="199"/>
      <c r="H70" s="199"/>
      <c r="I70" s="199"/>
      <c r="J70" s="199"/>
    </row>
    <row r="71" spans="1:10" ht="15" x14ac:dyDescent="0.2">
      <c r="A71" s="199"/>
      <c r="B71" s="199"/>
      <c r="C71" s="199"/>
      <c r="D71" s="199"/>
      <c r="E71" s="199"/>
      <c r="F71" s="199"/>
      <c r="G71" s="199"/>
      <c r="H71" s="199"/>
      <c r="I71" s="199"/>
      <c r="J71" s="199"/>
    </row>
  </sheetData>
  <mergeCells count="4">
    <mergeCell ref="A1:F1"/>
    <mergeCell ref="A3:F3"/>
    <mergeCell ref="A70:J70"/>
    <mergeCell ref="A71:J71"/>
  </mergeCells>
  <pageMargins left="0.25" right="0.25" top="0.5" bottom="0.5" header="0.3" footer="0.3"/>
  <pageSetup scale="91" fitToHeight="0" orientation="landscape" r:id="rId1"/>
  <headerFooter alignWithMargins="0"/>
  <rowBreaks count="1" manualBreakCount="1">
    <brk id="43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89"/>
  <sheetViews>
    <sheetView view="pageBreakPreview" zoomScale="85" zoomScaleNormal="85" zoomScaleSheetLayoutView="85" workbookViewId="0">
      <selection activeCell="A23" sqref="A23"/>
    </sheetView>
  </sheetViews>
  <sheetFormatPr defaultRowHeight="12.75" x14ac:dyDescent="0.2"/>
  <cols>
    <col min="1" max="1" width="20.28515625" customWidth="1"/>
    <col min="2" max="2" width="20.42578125" bestFit="1" customWidth="1"/>
    <col min="3" max="3" width="20.140625" customWidth="1"/>
    <col min="4" max="4" width="12.5703125" bestFit="1" customWidth="1"/>
    <col min="5" max="5" width="20.85546875" bestFit="1" customWidth="1"/>
    <col min="6" max="6" width="14.85546875" customWidth="1"/>
    <col min="7" max="7" width="14.85546875" bestFit="1" customWidth="1"/>
    <col min="8" max="8" width="18.28515625" bestFit="1" customWidth="1"/>
    <col min="9" max="9" width="16.28515625" bestFit="1" customWidth="1"/>
    <col min="10" max="10" width="19.85546875" bestFit="1" customWidth="1"/>
    <col min="11" max="11" width="17.7109375" bestFit="1" customWidth="1"/>
    <col min="12" max="12" width="11.5703125" bestFit="1" customWidth="1"/>
    <col min="13" max="13" width="16.28515625" bestFit="1" customWidth="1"/>
    <col min="14" max="14" width="19.85546875" bestFit="1" customWidth="1"/>
    <col min="15" max="15" width="14.85546875" bestFit="1" customWidth="1"/>
    <col min="16" max="16" width="17.5703125" bestFit="1" customWidth="1"/>
    <col min="17" max="17" width="10.28515625" customWidth="1"/>
    <col min="18" max="18" width="14.85546875" bestFit="1" customWidth="1"/>
    <col min="19" max="19" width="15.5703125" bestFit="1" customWidth="1"/>
    <col min="20" max="20" width="15.140625" bestFit="1" customWidth="1"/>
    <col min="21" max="21" width="17.7109375" bestFit="1" customWidth="1"/>
    <col min="22" max="22" width="14.140625" bestFit="1" customWidth="1"/>
    <col min="23" max="23" width="14.42578125" bestFit="1" customWidth="1"/>
    <col min="24" max="25" width="14.85546875" bestFit="1" customWidth="1"/>
    <col min="26" max="26" width="14" bestFit="1" customWidth="1"/>
    <col min="27" max="27" width="15.140625" bestFit="1" customWidth="1"/>
    <col min="29" max="29" width="10.85546875" bestFit="1" customWidth="1"/>
  </cols>
  <sheetData>
    <row r="1" spans="1:29" ht="21" thickBot="1" x14ac:dyDescent="0.25">
      <c r="A1" s="203" t="s">
        <v>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3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5.75" x14ac:dyDescent="0.25">
      <c r="A2" s="206" t="s">
        <v>73</v>
      </c>
      <c r="B2" s="207"/>
      <c r="C2" s="207"/>
      <c r="D2" s="208"/>
      <c r="E2" s="200" t="s">
        <v>89</v>
      </c>
      <c r="F2" s="201"/>
      <c r="G2" s="201"/>
      <c r="H2" s="201"/>
      <c r="I2" s="201"/>
      <c r="J2" s="202"/>
      <c r="K2" s="207" t="s">
        <v>90</v>
      </c>
      <c r="L2" s="207"/>
      <c r="M2" s="207"/>
      <c r="N2" s="204" t="s">
        <v>91</v>
      </c>
      <c r="O2" s="205"/>
      <c r="P2" s="200" t="s">
        <v>92</v>
      </c>
      <c r="Q2" s="201"/>
      <c r="R2" s="201"/>
      <c r="S2" s="201"/>
      <c r="T2" s="201"/>
      <c r="U2" s="202"/>
      <c r="V2" s="68"/>
      <c r="W2" s="68"/>
      <c r="X2" s="68"/>
      <c r="Y2" s="68"/>
      <c r="Z2" s="68"/>
      <c r="AA2" s="68"/>
      <c r="AB2" s="68"/>
      <c r="AC2" s="68"/>
    </row>
    <row r="3" spans="1:29" ht="77.25" thickBot="1" x14ac:dyDescent="0.25">
      <c r="A3" s="86" t="s">
        <v>93</v>
      </c>
      <c r="B3" s="76" t="s">
        <v>94</v>
      </c>
      <c r="C3" s="77" t="s">
        <v>36</v>
      </c>
      <c r="D3" s="78" t="s">
        <v>95</v>
      </c>
      <c r="E3" s="79" t="s">
        <v>96</v>
      </c>
      <c r="F3" s="80" t="s">
        <v>97</v>
      </c>
      <c r="G3" s="81" t="s">
        <v>36</v>
      </c>
      <c r="H3" s="81" t="s">
        <v>98</v>
      </c>
      <c r="I3" s="80" t="s">
        <v>99</v>
      </c>
      <c r="J3" s="82" t="s">
        <v>91</v>
      </c>
      <c r="K3" s="83" t="s">
        <v>100</v>
      </c>
      <c r="L3" s="80" t="s">
        <v>101</v>
      </c>
      <c r="M3" s="84" t="s">
        <v>94</v>
      </c>
      <c r="N3" s="85" t="s">
        <v>102</v>
      </c>
      <c r="O3" s="127" t="s">
        <v>36</v>
      </c>
      <c r="P3" s="79" t="s">
        <v>96</v>
      </c>
      <c r="Q3" s="80" t="s">
        <v>97</v>
      </c>
      <c r="R3" s="81" t="s">
        <v>36</v>
      </c>
      <c r="S3" s="81" t="s">
        <v>98</v>
      </c>
      <c r="T3" s="80" t="s">
        <v>99</v>
      </c>
      <c r="U3" s="82" t="s">
        <v>91</v>
      </c>
      <c r="V3" s="130" t="s">
        <v>103</v>
      </c>
      <c r="W3" s="130" t="s">
        <v>104</v>
      </c>
      <c r="X3" s="131" t="s">
        <v>107</v>
      </c>
      <c r="Y3" s="131" t="s">
        <v>108</v>
      </c>
      <c r="Z3" s="131" t="s">
        <v>17</v>
      </c>
      <c r="AA3" s="131" t="s">
        <v>105</v>
      </c>
      <c r="AB3" s="62"/>
      <c r="AC3" s="62"/>
    </row>
    <row r="4" spans="1:29" ht="13.5" thickBot="1" x14ac:dyDescent="0.25">
      <c r="A4" s="87" t="s">
        <v>106</v>
      </c>
      <c r="B4" s="69">
        <v>3539792.81</v>
      </c>
      <c r="C4" s="91">
        <v>350309.28</v>
      </c>
      <c r="D4" s="92">
        <v>1978</v>
      </c>
      <c r="E4" s="66">
        <v>3565964.6115000001</v>
      </c>
      <c r="F4" s="71">
        <v>13552</v>
      </c>
      <c r="G4" s="71">
        <v>1055443.4657468749</v>
      </c>
      <c r="H4" s="69">
        <v>460561.42846000014</v>
      </c>
      <c r="I4" s="69">
        <v>129556.41669</v>
      </c>
      <c r="J4" s="118">
        <v>4156082.4566500001</v>
      </c>
      <c r="K4" s="67">
        <v>142</v>
      </c>
      <c r="L4" s="71">
        <v>11308</v>
      </c>
      <c r="M4" s="118">
        <v>35760.53</v>
      </c>
      <c r="N4" s="66">
        <v>7905171.5601000004</v>
      </c>
      <c r="O4" s="92">
        <v>1451161.6409089349</v>
      </c>
      <c r="P4" s="66">
        <v>136773.40760000001</v>
      </c>
      <c r="Q4" s="120">
        <v>453</v>
      </c>
      <c r="R4" s="120">
        <v>48031.669007979035</v>
      </c>
      <c r="S4" s="66">
        <v>38923.881540000009</v>
      </c>
      <c r="T4" s="66">
        <v>11143.924309999999</v>
      </c>
      <c r="U4" s="118">
        <v>186841.21345000001</v>
      </c>
      <c r="V4" s="129"/>
      <c r="W4" s="129"/>
      <c r="X4" s="129"/>
      <c r="Y4" s="129"/>
      <c r="Z4" s="129"/>
      <c r="AA4" s="129"/>
      <c r="AB4" s="60"/>
      <c r="AC4" s="141"/>
    </row>
    <row r="5" spans="1:29" x14ac:dyDescent="0.2">
      <c r="A5" s="144">
        <v>44197</v>
      </c>
      <c r="B5" s="192">
        <v>2956.94</v>
      </c>
      <c r="C5" s="122">
        <v>252.89999999999998</v>
      </c>
      <c r="D5" s="105">
        <v>1</v>
      </c>
      <c r="E5" s="98">
        <v>0</v>
      </c>
      <c r="F5" s="99">
        <v>0</v>
      </c>
      <c r="G5" s="99">
        <v>0</v>
      </c>
      <c r="H5" s="97">
        <v>0</v>
      </c>
      <c r="I5" s="125">
        <v>0</v>
      </c>
      <c r="J5" s="103">
        <v>0</v>
      </c>
      <c r="K5" s="101">
        <v>0</v>
      </c>
      <c r="L5" s="99">
        <v>0</v>
      </c>
      <c r="M5" s="103">
        <v>0</v>
      </c>
      <c r="N5" s="98">
        <f>B5+J5+M5+U5</f>
        <v>2956.94</v>
      </c>
      <c r="O5" s="105">
        <f t="shared" ref="O5:O16" si="0">C5+G5+R5</f>
        <v>252.89999999999998</v>
      </c>
      <c r="P5" s="98">
        <v>0</v>
      </c>
      <c r="Q5" s="99">
        <v>0</v>
      </c>
      <c r="R5" s="99">
        <v>0</v>
      </c>
      <c r="S5" s="97">
        <v>0</v>
      </c>
      <c r="T5" s="97">
        <v>0</v>
      </c>
      <c r="U5" s="103">
        <v>0</v>
      </c>
      <c r="V5" s="129">
        <f>C5+G5</f>
        <v>252.89999999999998</v>
      </c>
      <c r="W5" s="129">
        <f t="shared" ref="W5:W16" si="1">R5</f>
        <v>0</v>
      </c>
      <c r="X5" s="129">
        <f t="shared" ref="X5:X16" si="2">N5-U5-M5</f>
        <v>2956.94</v>
      </c>
      <c r="Y5" s="129">
        <f t="shared" ref="Y5:Y15" si="3">N5-U5</f>
        <v>2956.94</v>
      </c>
      <c r="Z5" s="129">
        <f t="shared" ref="Z5:Z16" si="4">X5-Y5</f>
        <v>0</v>
      </c>
      <c r="AA5" s="129">
        <f t="shared" ref="AA5:AA16" si="5">U5</f>
        <v>0</v>
      </c>
      <c r="AB5" s="60"/>
      <c r="AC5" s="141"/>
    </row>
    <row r="6" spans="1:29" x14ac:dyDescent="0.2">
      <c r="A6" s="145">
        <v>44228</v>
      </c>
      <c r="B6" s="191">
        <v>2558.6799999999998</v>
      </c>
      <c r="C6" s="123">
        <v>252.89999999999998</v>
      </c>
      <c r="D6" s="106">
        <v>1</v>
      </c>
      <c r="E6" s="88">
        <v>0</v>
      </c>
      <c r="F6" s="100">
        <v>0</v>
      </c>
      <c r="G6" s="100">
        <v>0</v>
      </c>
      <c r="H6" s="90">
        <v>0</v>
      </c>
      <c r="I6" s="89">
        <v>0</v>
      </c>
      <c r="J6" s="104">
        <v>0</v>
      </c>
      <c r="K6" s="102">
        <v>0</v>
      </c>
      <c r="L6" s="100">
        <v>0</v>
      </c>
      <c r="M6" s="128">
        <v>0</v>
      </c>
      <c r="N6" s="88">
        <f t="shared" ref="N6:N16" si="6">B6+J6+M6+U6</f>
        <v>2558.6799999999998</v>
      </c>
      <c r="O6" s="106">
        <f t="shared" si="0"/>
        <v>252.89999999999998</v>
      </c>
      <c r="P6" s="88">
        <v>0</v>
      </c>
      <c r="Q6" s="100">
        <v>0</v>
      </c>
      <c r="R6" s="100">
        <v>0</v>
      </c>
      <c r="S6" s="90">
        <v>0</v>
      </c>
      <c r="T6" s="90">
        <v>0</v>
      </c>
      <c r="U6" s="104">
        <v>0</v>
      </c>
      <c r="V6" s="129">
        <f t="shared" ref="V6:V16" si="7">C6+G6</f>
        <v>252.89999999999998</v>
      </c>
      <c r="W6" s="129">
        <f t="shared" si="1"/>
        <v>0</v>
      </c>
      <c r="X6" s="129">
        <f t="shared" si="2"/>
        <v>2558.6799999999998</v>
      </c>
      <c r="Y6" s="129">
        <f t="shared" si="3"/>
        <v>2558.6799999999998</v>
      </c>
      <c r="Z6" s="129">
        <f t="shared" si="4"/>
        <v>0</v>
      </c>
      <c r="AA6" s="129">
        <f t="shared" si="5"/>
        <v>0</v>
      </c>
      <c r="AB6" s="60"/>
      <c r="AC6" s="141"/>
    </row>
    <row r="7" spans="1:29" x14ac:dyDescent="0.2">
      <c r="A7" s="121">
        <v>44256</v>
      </c>
      <c r="B7" s="191">
        <v>4252.3500000000004</v>
      </c>
      <c r="C7" s="123">
        <v>505.79999999999995</v>
      </c>
      <c r="D7" s="106">
        <v>2</v>
      </c>
      <c r="E7" s="88">
        <v>0</v>
      </c>
      <c r="F7" s="100">
        <v>0</v>
      </c>
      <c r="G7" s="100">
        <v>0</v>
      </c>
      <c r="H7" s="90">
        <v>0</v>
      </c>
      <c r="I7" s="89">
        <v>0</v>
      </c>
      <c r="J7" s="104">
        <v>0</v>
      </c>
      <c r="K7" s="102">
        <v>0</v>
      </c>
      <c r="L7" s="100">
        <v>0</v>
      </c>
      <c r="M7" s="128">
        <v>0</v>
      </c>
      <c r="N7" s="88">
        <f t="shared" si="6"/>
        <v>4252.3500000000004</v>
      </c>
      <c r="O7" s="106">
        <f t="shared" si="0"/>
        <v>505.79999999999995</v>
      </c>
      <c r="P7" s="88">
        <v>0</v>
      </c>
      <c r="Q7" s="100">
        <v>0</v>
      </c>
      <c r="R7" s="100">
        <v>0</v>
      </c>
      <c r="S7" s="90">
        <v>0</v>
      </c>
      <c r="T7" s="90">
        <v>0</v>
      </c>
      <c r="U7" s="104">
        <v>0</v>
      </c>
      <c r="V7" s="129">
        <f t="shared" si="7"/>
        <v>505.79999999999995</v>
      </c>
      <c r="W7" s="129">
        <f t="shared" si="1"/>
        <v>0</v>
      </c>
      <c r="X7" s="129">
        <f t="shared" si="2"/>
        <v>4252.3500000000004</v>
      </c>
      <c r="Y7" s="129">
        <f t="shared" si="3"/>
        <v>4252.3500000000004</v>
      </c>
      <c r="Z7" s="129">
        <f t="shared" si="4"/>
        <v>0</v>
      </c>
      <c r="AA7" s="129">
        <f t="shared" si="5"/>
        <v>0</v>
      </c>
      <c r="AB7" s="60"/>
      <c r="AC7" s="141"/>
    </row>
    <row r="8" spans="1:29" x14ac:dyDescent="0.2">
      <c r="A8" s="121">
        <v>44287</v>
      </c>
      <c r="B8" s="191">
        <v>3000</v>
      </c>
      <c r="C8" s="123">
        <v>252.89999999999998</v>
      </c>
      <c r="D8" s="106">
        <v>1</v>
      </c>
      <c r="E8" s="88">
        <v>0</v>
      </c>
      <c r="F8" s="100">
        <v>0</v>
      </c>
      <c r="G8" s="100">
        <v>0</v>
      </c>
      <c r="H8" s="90">
        <v>0</v>
      </c>
      <c r="I8" s="89">
        <v>0</v>
      </c>
      <c r="J8" s="104">
        <v>0</v>
      </c>
      <c r="K8" s="102">
        <v>0</v>
      </c>
      <c r="L8" s="102">
        <v>0</v>
      </c>
      <c r="M8" s="104">
        <v>0</v>
      </c>
      <c r="N8" s="88">
        <f t="shared" si="6"/>
        <v>3000</v>
      </c>
      <c r="O8" s="106">
        <f t="shared" si="0"/>
        <v>252.89999999999998</v>
      </c>
      <c r="P8" s="88">
        <v>0</v>
      </c>
      <c r="Q8" s="100">
        <v>0</v>
      </c>
      <c r="R8" s="100">
        <v>0</v>
      </c>
      <c r="S8" s="90">
        <v>0</v>
      </c>
      <c r="T8" s="90">
        <v>0</v>
      </c>
      <c r="U8" s="104">
        <v>0</v>
      </c>
      <c r="V8" s="129">
        <f t="shared" si="7"/>
        <v>252.89999999999998</v>
      </c>
      <c r="W8" s="129">
        <f t="shared" si="1"/>
        <v>0</v>
      </c>
      <c r="X8" s="129">
        <f t="shared" si="2"/>
        <v>3000</v>
      </c>
      <c r="Y8" s="129">
        <f t="shared" si="3"/>
        <v>3000</v>
      </c>
      <c r="Z8" s="129">
        <f t="shared" si="4"/>
        <v>0</v>
      </c>
      <c r="AA8" s="129">
        <f t="shared" si="5"/>
        <v>0</v>
      </c>
      <c r="AB8" s="60"/>
      <c r="AC8" s="141"/>
    </row>
    <row r="9" spans="1:29" x14ac:dyDescent="0.2">
      <c r="A9" s="121">
        <v>44317</v>
      </c>
      <c r="B9" s="191">
        <v>1569.23</v>
      </c>
      <c r="C9" s="123">
        <v>505.79999999999995</v>
      </c>
      <c r="D9" s="106">
        <v>2</v>
      </c>
      <c r="E9" s="88">
        <v>0</v>
      </c>
      <c r="F9" s="100">
        <v>0</v>
      </c>
      <c r="G9" s="100">
        <v>0</v>
      </c>
      <c r="H9" s="90">
        <v>0</v>
      </c>
      <c r="I9" s="89">
        <v>0</v>
      </c>
      <c r="J9" s="104">
        <v>0</v>
      </c>
      <c r="K9" s="102">
        <v>0</v>
      </c>
      <c r="L9" s="100">
        <v>0</v>
      </c>
      <c r="M9" s="104">
        <v>0</v>
      </c>
      <c r="N9" s="88">
        <f t="shared" si="6"/>
        <v>1569.23</v>
      </c>
      <c r="O9" s="106">
        <f t="shared" si="0"/>
        <v>505.79999999999995</v>
      </c>
      <c r="P9" s="88">
        <v>0</v>
      </c>
      <c r="Q9" s="100">
        <v>0</v>
      </c>
      <c r="R9" s="100">
        <v>0</v>
      </c>
      <c r="S9" s="90">
        <v>0</v>
      </c>
      <c r="T9" s="90">
        <v>0</v>
      </c>
      <c r="U9" s="104">
        <v>0</v>
      </c>
      <c r="V9" s="129">
        <f t="shared" si="7"/>
        <v>505.79999999999995</v>
      </c>
      <c r="W9" s="129">
        <f t="shared" si="1"/>
        <v>0</v>
      </c>
      <c r="X9" s="129">
        <f t="shared" si="2"/>
        <v>1569.23</v>
      </c>
      <c r="Y9" s="129">
        <f t="shared" si="3"/>
        <v>1569.23</v>
      </c>
      <c r="Z9" s="129">
        <f t="shared" si="4"/>
        <v>0</v>
      </c>
      <c r="AA9" s="129">
        <f t="shared" si="5"/>
        <v>0</v>
      </c>
      <c r="AB9" s="60"/>
      <c r="AC9" s="141"/>
    </row>
    <row r="10" spans="1:29" x14ac:dyDescent="0.2">
      <c r="A10" s="121">
        <v>44348</v>
      </c>
      <c r="B10" s="191">
        <v>5738.38</v>
      </c>
      <c r="C10" s="123">
        <v>505.79999999999995</v>
      </c>
      <c r="D10" s="106">
        <v>2</v>
      </c>
      <c r="E10" s="88">
        <v>0</v>
      </c>
      <c r="F10" s="100">
        <v>0</v>
      </c>
      <c r="G10" s="100">
        <v>0</v>
      </c>
      <c r="H10" s="90">
        <v>0</v>
      </c>
      <c r="I10" s="89">
        <v>0</v>
      </c>
      <c r="J10" s="104">
        <v>0</v>
      </c>
      <c r="K10" s="102">
        <v>0</v>
      </c>
      <c r="L10" s="100">
        <v>0</v>
      </c>
      <c r="M10" s="104">
        <v>0</v>
      </c>
      <c r="N10" s="88">
        <f t="shared" si="6"/>
        <v>5738.38</v>
      </c>
      <c r="O10" s="106">
        <f t="shared" si="0"/>
        <v>505.79999999999995</v>
      </c>
      <c r="P10" s="88">
        <v>0</v>
      </c>
      <c r="Q10" s="100">
        <v>0</v>
      </c>
      <c r="R10" s="100">
        <v>0</v>
      </c>
      <c r="S10" s="90">
        <v>0</v>
      </c>
      <c r="T10" s="90">
        <v>0</v>
      </c>
      <c r="U10" s="104">
        <v>0</v>
      </c>
      <c r="V10" s="129">
        <f t="shared" si="7"/>
        <v>505.79999999999995</v>
      </c>
      <c r="W10" s="129">
        <f t="shared" si="1"/>
        <v>0</v>
      </c>
      <c r="X10" s="129">
        <f t="shared" si="2"/>
        <v>5738.38</v>
      </c>
      <c r="Y10" s="129">
        <f t="shared" si="3"/>
        <v>5738.38</v>
      </c>
      <c r="Z10" s="129">
        <f t="shared" si="4"/>
        <v>0</v>
      </c>
      <c r="AA10" s="129">
        <f t="shared" si="5"/>
        <v>0</v>
      </c>
      <c r="AB10" s="60"/>
      <c r="AC10" s="141"/>
    </row>
    <row r="11" spans="1:29" x14ac:dyDescent="0.2">
      <c r="A11" s="121">
        <v>44378</v>
      </c>
      <c r="B11" s="191">
        <v>12000</v>
      </c>
      <c r="C11" s="123">
        <v>1011.5999999999999</v>
      </c>
      <c r="D11" s="106">
        <v>4</v>
      </c>
      <c r="E11" s="88">
        <v>0</v>
      </c>
      <c r="F11" s="100">
        <v>0</v>
      </c>
      <c r="G11" s="100">
        <v>0</v>
      </c>
      <c r="H11" s="90">
        <v>0</v>
      </c>
      <c r="I11" s="89">
        <v>0</v>
      </c>
      <c r="J11" s="104">
        <v>0</v>
      </c>
      <c r="K11" s="102">
        <v>0</v>
      </c>
      <c r="L11" s="100">
        <v>0</v>
      </c>
      <c r="M11" s="104">
        <v>0</v>
      </c>
      <c r="N11" s="88">
        <f t="shared" si="6"/>
        <v>12000</v>
      </c>
      <c r="O11" s="106">
        <f t="shared" si="0"/>
        <v>1011.5999999999999</v>
      </c>
      <c r="P11" s="88">
        <v>0</v>
      </c>
      <c r="Q11" s="100">
        <v>0</v>
      </c>
      <c r="R11" s="100">
        <v>0</v>
      </c>
      <c r="S11" s="90">
        <v>0</v>
      </c>
      <c r="T11" s="90">
        <v>0</v>
      </c>
      <c r="U11" s="104">
        <v>0</v>
      </c>
      <c r="V11" s="129">
        <f t="shared" si="7"/>
        <v>1011.5999999999999</v>
      </c>
      <c r="W11" s="129">
        <f t="shared" si="1"/>
        <v>0</v>
      </c>
      <c r="X11" s="129">
        <f t="shared" si="2"/>
        <v>12000</v>
      </c>
      <c r="Y11" s="129">
        <f t="shared" si="3"/>
        <v>12000</v>
      </c>
      <c r="Z11" s="129">
        <f t="shared" si="4"/>
        <v>0</v>
      </c>
      <c r="AA11" s="129">
        <f t="shared" si="5"/>
        <v>0</v>
      </c>
      <c r="AB11" s="60"/>
      <c r="AC11" s="141"/>
    </row>
    <row r="12" spans="1:29" x14ac:dyDescent="0.2">
      <c r="A12" s="121">
        <v>44409</v>
      </c>
      <c r="B12" s="191">
        <v>7347.41</v>
      </c>
      <c r="C12" s="123">
        <v>1011.5999999999999</v>
      </c>
      <c r="D12" s="106">
        <v>4</v>
      </c>
      <c r="E12" s="88">
        <v>0</v>
      </c>
      <c r="F12" s="100">
        <v>0</v>
      </c>
      <c r="G12" s="100">
        <v>0</v>
      </c>
      <c r="H12" s="90">
        <v>0</v>
      </c>
      <c r="I12" s="89">
        <v>0</v>
      </c>
      <c r="J12" s="104">
        <v>0</v>
      </c>
      <c r="K12" s="102">
        <v>0</v>
      </c>
      <c r="L12" s="100">
        <v>0</v>
      </c>
      <c r="M12" s="104">
        <v>0</v>
      </c>
      <c r="N12" s="88">
        <f t="shared" si="6"/>
        <v>7347.41</v>
      </c>
      <c r="O12" s="106">
        <f t="shared" si="0"/>
        <v>1011.5999999999999</v>
      </c>
      <c r="P12" s="88">
        <v>0</v>
      </c>
      <c r="Q12" s="100">
        <v>0</v>
      </c>
      <c r="R12" s="100">
        <v>0</v>
      </c>
      <c r="S12" s="90">
        <v>0</v>
      </c>
      <c r="T12" s="90">
        <v>0</v>
      </c>
      <c r="U12" s="104">
        <v>0</v>
      </c>
      <c r="V12" s="129">
        <f t="shared" si="7"/>
        <v>1011.5999999999999</v>
      </c>
      <c r="W12" s="129">
        <f t="shared" si="1"/>
        <v>0</v>
      </c>
      <c r="X12" s="129">
        <f t="shared" si="2"/>
        <v>7347.41</v>
      </c>
      <c r="Y12" s="129">
        <f t="shared" si="3"/>
        <v>7347.41</v>
      </c>
      <c r="Z12" s="129">
        <f t="shared" si="4"/>
        <v>0</v>
      </c>
      <c r="AA12" s="129">
        <f t="shared" si="5"/>
        <v>0</v>
      </c>
      <c r="AB12" s="60"/>
      <c r="AC12" s="141"/>
    </row>
    <row r="13" spans="1:29" x14ac:dyDescent="0.2">
      <c r="A13" s="121">
        <v>44440</v>
      </c>
      <c r="B13" s="191">
        <v>10661.75</v>
      </c>
      <c r="C13" s="123">
        <v>1011.5999999999999</v>
      </c>
      <c r="D13" s="106">
        <v>4</v>
      </c>
      <c r="E13" s="88">
        <v>0</v>
      </c>
      <c r="F13" s="100">
        <v>0</v>
      </c>
      <c r="G13" s="100">
        <v>0</v>
      </c>
      <c r="H13" s="90">
        <v>0</v>
      </c>
      <c r="I13" s="89">
        <v>0</v>
      </c>
      <c r="J13" s="104">
        <v>0</v>
      </c>
      <c r="K13" s="102">
        <v>0</v>
      </c>
      <c r="L13" s="100">
        <v>0</v>
      </c>
      <c r="M13" s="104">
        <v>0</v>
      </c>
      <c r="N13" s="88">
        <f t="shared" si="6"/>
        <v>10661.75</v>
      </c>
      <c r="O13" s="106">
        <f t="shared" si="0"/>
        <v>1011.5999999999999</v>
      </c>
      <c r="P13" s="88">
        <v>0</v>
      </c>
      <c r="Q13" s="100">
        <v>0</v>
      </c>
      <c r="R13" s="100">
        <v>0</v>
      </c>
      <c r="S13" s="90">
        <v>0</v>
      </c>
      <c r="T13" s="90">
        <v>0</v>
      </c>
      <c r="U13" s="104">
        <v>0</v>
      </c>
      <c r="V13" s="129">
        <f t="shared" si="7"/>
        <v>1011.5999999999999</v>
      </c>
      <c r="W13" s="129">
        <f t="shared" si="1"/>
        <v>0</v>
      </c>
      <c r="X13" s="129">
        <f t="shared" si="2"/>
        <v>10661.75</v>
      </c>
      <c r="Y13" s="129">
        <f t="shared" si="3"/>
        <v>10661.75</v>
      </c>
      <c r="Z13" s="129">
        <f t="shared" si="4"/>
        <v>0</v>
      </c>
      <c r="AA13" s="129">
        <f t="shared" si="5"/>
        <v>0</v>
      </c>
      <c r="AB13" s="60"/>
      <c r="AC13" s="141"/>
    </row>
    <row r="14" spans="1:29" x14ac:dyDescent="0.2">
      <c r="A14" s="121">
        <v>44470</v>
      </c>
      <c r="B14" s="191">
        <v>0</v>
      </c>
      <c r="C14" s="123">
        <v>0</v>
      </c>
      <c r="D14" s="106">
        <v>0</v>
      </c>
      <c r="E14" s="88">
        <v>0</v>
      </c>
      <c r="F14" s="100">
        <v>0</v>
      </c>
      <c r="G14" s="100">
        <v>0</v>
      </c>
      <c r="H14" s="90">
        <v>0</v>
      </c>
      <c r="I14" s="89">
        <v>0</v>
      </c>
      <c r="J14" s="104">
        <v>0</v>
      </c>
      <c r="K14" s="102">
        <v>0</v>
      </c>
      <c r="L14" s="100">
        <v>0</v>
      </c>
      <c r="M14" s="73">
        <v>0</v>
      </c>
      <c r="N14" s="88">
        <f t="shared" si="6"/>
        <v>0</v>
      </c>
      <c r="O14" s="106">
        <f t="shared" si="0"/>
        <v>0</v>
      </c>
      <c r="P14" s="88">
        <v>0</v>
      </c>
      <c r="Q14" s="100">
        <v>0</v>
      </c>
      <c r="R14" s="100">
        <v>0</v>
      </c>
      <c r="S14" s="90">
        <v>0</v>
      </c>
      <c r="T14" s="90">
        <v>0</v>
      </c>
      <c r="U14" s="104">
        <v>0</v>
      </c>
      <c r="V14" s="129">
        <f t="shared" si="7"/>
        <v>0</v>
      </c>
      <c r="W14" s="129">
        <f t="shared" si="1"/>
        <v>0</v>
      </c>
      <c r="X14" s="129">
        <f t="shared" si="2"/>
        <v>0</v>
      </c>
      <c r="Y14" s="129">
        <f t="shared" si="3"/>
        <v>0</v>
      </c>
      <c r="Z14" s="129">
        <f t="shared" si="4"/>
        <v>0</v>
      </c>
      <c r="AA14" s="129">
        <f t="shared" si="5"/>
        <v>0</v>
      </c>
      <c r="AB14" s="60"/>
      <c r="AC14" s="141"/>
    </row>
    <row r="15" spans="1:29" x14ac:dyDescent="0.2">
      <c r="A15" s="121">
        <v>44501</v>
      </c>
      <c r="B15" s="191">
        <v>0</v>
      </c>
      <c r="C15" s="123">
        <v>0</v>
      </c>
      <c r="D15" s="106">
        <v>0</v>
      </c>
      <c r="E15" s="88">
        <v>0</v>
      </c>
      <c r="F15" s="100">
        <v>0</v>
      </c>
      <c r="G15" s="100">
        <v>0</v>
      </c>
      <c r="H15" s="90">
        <v>0</v>
      </c>
      <c r="I15" s="89">
        <v>0</v>
      </c>
      <c r="J15" s="104">
        <v>0</v>
      </c>
      <c r="K15" s="102">
        <v>0</v>
      </c>
      <c r="L15" s="100">
        <v>0</v>
      </c>
      <c r="M15" s="104">
        <v>0</v>
      </c>
      <c r="N15" s="88">
        <f t="shared" si="6"/>
        <v>0</v>
      </c>
      <c r="O15" s="106">
        <f t="shared" si="0"/>
        <v>0</v>
      </c>
      <c r="P15" s="88">
        <v>0</v>
      </c>
      <c r="Q15" s="100">
        <v>0</v>
      </c>
      <c r="R15" s="100">
        <v>0</v>
      </c>
      <c r="S15" s="90">
        <v>0</v>
      </c>
      <c r="T15" s="90">
        <v>0</v>
      </c>
      <c r="U15" s="104">
        <v>0</v>
      </c>
      <c r="V15" s="129">
        <f t="shared" si="7"/>
        <v>0</v>
      </c>
      <c r="W15" s="129">
        <f t="shared" si="1"/>
        <v>0</v>
      </c>
      <c r="X15" s="129">
        <f t="shared" si="2"/>
        <v>0</v>
      </c>
      <c r="Y15" s="129">
        <f t="shared" si="3"/>
        <v>0</v>
      </c>
      <c r="Z15" s="129">
        <f t="shared" si="4"/>
        <v>0</v>
      </c>
      <c r="AA15" s="129">
        <f t="shared" si="5"/>
        <v>0</v>
      </c>
      <c r="AB15" s="60"/>
      <c r="AC15" s="141"/>
    </row>
    <row r="16" spans="1:29" ht="13.5" thickBot="1" x14ac:dyDescent="0.25">
      <c r="A16" s="124">
        <v>44531</v>
      </c>
      <c r="B16" s="107">
        <v>0</v>
      </c>
      <c r="C16" s="108">
        <v>0</v>
      </c>
      <c r="D16" s="109">
        <v>0</v>
      </c>
      <c r="E16" s="110">
        <v>0</v>
      </c>
      <c r="F16" s="111">
        <v>0</v>
      </c>
      <c r="G16" s="111">
        <v>0</v>
      </c>
      <c r="H16" s="107">
        <v>0</v>
      </c>
      <c r="I16" s="107">
        <v>0</v>
      </c>
      <c r="J16" s="112">
        <v>0</v>
      </c>
      <c r="K16" s="113">
        <v>0</v>
      </c>
      <c r="L16" s="111">
        <v>0</v>
      </c>
      <c r="M16" s="112">
        <v>0</v>
      </c>
      <c r="N16" s="119">
        <f t="shared" si="6"/>
        <v>0</v>
      </c>
      <c r="O16" s="109">
        <f t="shared" si="0"/>
        <v>0</v>
      </c>
      <c r="P16" s="110">
        <v>0</v>
      </c>
      <c r="Q16" s="111">
        <v>0</v>
      </c>
      <c r="R16" s="111">
        <v>0</v>
      </c>
      <c r="S16" s="107">
        <v>0</v>
      </c>
      <c r="T16" s="107">
        <v>0</v>
      </c>
      <c r="U16" s="112">
        <v>0</v>
      </c>
      <c r="V16" s="129">
        <f t="shared" si="7"/>
        <v>0</v>
      </c>
      <c r="W16" s="129">
        <f t="shared" si="1"/>
        <v>0</v>
      </c>
      <c r="X16" s="129">
        <f t="shared" si="2"/>
        <v>0</v>
      </c>
      <c r="Y16" s="129">
        <f t="shared" ref="Y16" si="8">N16-U16</f>
        <v>0</v>
      </c>
      <c r="Z16" s="129">
        <f t="shared" si="4"/>
        <v>0</v>
      </c>
      <c r="AA16" s="129">
        <f t="shared" si="5"/>
        <v>0</v>
      </c>
      <c r="AB16" s="60"/>
      <c r="AC16" s="141"/>
    </row>
    <row r="17" spans="1:29" ht="13.5" thickTop="1" x14ac:dyDescent="0.2">
      <c r="A17" s="114" t="s">
        <v>109</v>
      </c>
      <c r="B17" s="70">
        <f t="shared" ref="B17:U17" si="9">SUM(B5:B16)</f>
        <v>50084.740000000005</v>
      </c>
      <c r="C17" s="115">
        <f t="shared" si="9"/>
        <v>5310.9</v>
      </c>
      <c r="D17" s="116">
        <f t="shared" si="9"/>
        <v>21</v>
      </c>
      <c r="E17" s="72">
        <f t="shared" si="9"/>
        <v>0</v>
      </c>
      <c r="F17" s="75">
        <f t="shared" si="9"/>
        <v>0</v>
      </c>
      <c r="G17" s="75">
        <f t="shared" si="9"/>
        <v>0</v>
      </c>
      <c r="H17" s="70">
        <f t="shared" si="9"/>
        <v>0</v>
      </c>
      <c r="I17" s="70">
        <f t="shared" si="9"/>
        <v>0</v>
      </c>
      <c r="J17" s="74">
        <f t="shared" si="9"/>
        <v>0</v>
      </c>
      <c r="K17" s="117">
        <f t="shared" si="9"/>
        <v>0</v>
      </c>
      <c r="L17" s="75">
        <f t="shared" si="9"/>
        <v>0</v>
      </c>
      <c r="M17" s="74">
        <f t="shared" si="9"/>
        <v>0</v>
      </c>
      <c r="N17" s="72">
        <f t="shared" si="9"/>
        <v>50084.740000000005</v>
      </c>
      <c r="O17" s="116">
        <f t="shared" si="9"/>
        <v>5310.9</v>
      </c>
      <c r="P17" s="72">
        <f t="shared" si="9"/>
        <v>0</v>
      </c>
      <c r="Q17" s="75">
        <f t="shared" si="9"/>
        <v>0</v>
      </c>
      <c r="R17" s="75">
        <f t="shared" si="9"/>
        <v>0</v>
      </c>
      <c r="S17" s="70">
        <f t="shared" si="9"/>
        <v>0</v>
      </c>
      <c r="T17" s="70">
        <f t="shared" si="9"/>
        <v>0</v>
      </c>
      <c r="U17" s="126">
        <f t="shared" si="9"/>
        <v>0</v>
      </c>
      <c r="V17" s="129"/>
      <c r="W17" s="129"/>
      <c r="X17" s="129"/>
      <c r="Y17" s="129"/>
      <c r="Z17" s="129"/>
      <c r="AA17" s="129"/>
      <c r="AB17" s="60"/>
      <c r="AC17" s="60"/>
    </row>
    <row r="18" spans="1:29" ht="13.5" thickBot="1" x14ac:dyDescent="0.25">
      <c r="A18" s="87" t="s">
        <v>106</v>
      </c>
      <c r="B18" s="69">
        <f>B17+B4</f>
        <v>3589877.5500000003</v>
      </c>
      <c r="C18" s="91">
        <f t="shared" ref="C18:U18" si="10">C17+C4</f>
        <v>355620.18000000005</v>
      </c>
      <c r="D18" s="92">
        <f t="shared" si="10"/>
        <v>1999</v>
      </c>
      <c r="E18" s="66">
        <f t="shared" si="10"/>
        <v>3565964.6115000001</v>
      </c>
      <c r="F18" s="71">
        <f t="shared" si="10"/>
        <v>13552</v>
      </c>
      <c r="G18" s="71">
        <f t="shared" si="10"/>
        <v>1055443.4657468749</v>
      </c>
      <c r="H18" s="69">
        <f t="shared" si="10"/>
        <v>460561.42846000014</v>
      </c>
      <c r="I18" s="69">
        <f t="shared" si="10"/>
        <v>129556.41669</v>
      </c>
      <c r="J18" s="118">
        <f t="shared" si="10"/>
        <v>4156082.4566500001</v>
      </c>
      <c r="K18" s="67">
        <f t="shared" si="10"/>
        <v>142</v>
      </c>
      <c r="L18" s="71">
        <f t="shared" si="10"/>
        <v>11308</v>
      </c>
      <c r="M18" s="118">
        <f t="shared" si="10"/>
        <v>35760.53</v>
      </c>
      <c r="N18" s="66">
        <f t="shared" si="10"/>
        <v>7955256.3001000006</v>
      </c>
      <c r="O18" s="92">
        <f t="shared" si="10"/>
        <v>1456472.5409089348</v>
      </c>
      <c r="P18" s="66">
        <f t="shared" si="10"/>
        <v>136773.40760000001</v>
      </c>
      <c r="Q18" s="120">
        <f t="shared" si="10"/>
        <v>453</v>
      </c>
      <c r="R18" s="120">
        <f t="shared" si="10"/>
        <v>48031.669007979035</v>
      </c>
      <c r="S18" s="66">
        <f t="shared" si="10"/>
        <v>38923.881540000009</v>
      </c>
      <c r="T18" s="66">
        <f t="shared" si="10"/>
        <v>11143.924309999999</v>
      </c>
      <c r="U18" s="118">
        <f t="shared" si="10"/>
        <v>186841.21345000001</v>
      </c>
      <c r="V18" s="129"/>
      <c r="W18" s="129"/>
      <c r="X18" s="129"/>
      <c r="Y18" s="129"/>
      <c r="Z18" s="129"/>
      <c r="AA18" s="129"/>
      <c r="AB18" s="60"/>
      <c r="AC18" s="60"/>
    </row>
    <row r="19" spans="1:29" s="61" customFormat="1" x14ac:dyDescent="0.2">
      <c r="A19" s="144">
        <v>44562</v>
      </c>
      <c r="B19" s="194">
        <v>0</v>
      </c>
      <c r="C19" s="122">
        <v>0</v>
      </c>
      <c r="D19" s="105">
        <v>0</v>
      </c>
      <c r="E19" s="98">
        <v>0</v>
      </c>
      <c r="F19" s="99">
        <v>0</v>
      </c>
      <c r="G19" s="99">
        <v>0</v>
      </c>
      <c r="H19" s="97">
        <v>0</v>
      </c>
      <c r="I19" s="125">
        <v>0</v>
      </c>
      <c r="J19" s="103">
        <v>0</v>
      </c>
      <c r="K19" s="101">
        <v>0</v>
      </c>
      <c r="L19" s="99">
        <v>0</v>
      </c>
      <c r="M19" s="103">
        <v>0</v>
      </c>
      <c r="N19" s="98">
        <f>B19+J19+M19+U19</f>
        <v>0</v>
      </c>
      <c r="O19" s="105">
        <f>C19+G19+R19</f>
        <v>0</v>
      </c>
      <c r="P19" s="98">
        <v>0</v>
      </c>
      <c r="Q19" s="99">
        <v>0</v>
      </c>
      <c r="R19" s="99">
        <v>0</v>
      </c>
      <c r="S19" s="97">
        <v>0</v>
      </c>
      <c r="T19" s="97">
        <v>0</v>
      </c>
      <c r="U19" s="103">
        <v>0</v>
      </c>
      <c r="V19" s="129">
        <f>C19+G19</f>
        <v>0</v>
      </c>
      <c r="W19" s="129">
        <f t="shared" ref="W19:W30" si="11">R19</f>
        <v>0</v>
      </c>
      <c r="X19" s="129">
        <f t="shared" ref="X19:X30" si="12">N19-U19-M19</f>
        <v>0</v>
      </c>
      <c r="Y19" s="129">
        <f>N19-U19</f>
        <v>0</v>
      </c>
      <c r="Z19" s="129">
        <f t="shared" ref="Z19:Z30" si="13">X19-Y19</f>
        <v>0</v>
      </c>
      <c r="AA19" s="129">
        <f t="shared" ref="AA19:AA30" si="14">U19</f>
        <v>0</v>
      </c>
    </row>
    <row r="20" spans="1:29" s="61" customFormat="1" x14ac:dyDescent="0.2">
      <c r="A20" s="145">
        <v>44593</v>
      </c>
      <c r="B20" s="193">
        <v>0</v>
      </c>
      <c r="C20" s="123">
        <v>0</v>
      </c>
      <c r="D20" s="106">
        <v>0</v>
      </c>
      <c r="E20" s="88">
        <v>0</v>
      </c>
      <c r="F20" s="100">
        <v>0</v>
      </c>
      <c r="G20" s="100">
        <v>0</v>
      </c>
      <c r="H20" s="90">
        <v>0</v>
      </c>
      <c r="I20" s="89">
        <v>0</v>
      </c>
      <c r="J20" s="104">
        <v>0</v>
      </c>
      <c r="K20" s="102">
        <v>0</v>
      </c>
      <c r="L20" s="100">
        <v>0</v>
      </c>
      <c r="M20" s="128">
        <v>0</v>
      </c>
      <c r="N20" s="88">
        <f t="shared" ref="N20:N30" si="15">B20+J20+M20+U20</f>
        <v>0</v>
      </c>
      <c r="O20" s="106">
        <f t="shared" ref="O20:O30" si="16">C20+G20+R20</f>
        <v>0</v>
      </c>
      <c r="P20" s="88">
        <v>0</v>
      </c>
      <c r="Q20" s="100">
        <v>0</v>
      </c>
      <c r="R20" s="100">
        <v>0</v>
      </c>
      <c r="S20" s="90">
        <v>0</v>
      </c>
      <c r="T20" s="90">
        <v>0</v>
      </c>
      <c r="U20" s="104">
        <v>0</v>
      </c>
      <c r="V20" s="129">
        <f>C20+G20</f>
        <v>0</v>
      </c>
      <c r="W20" s="129">
        <f>R20</f>
        <v>0</v>
      </c>
      <c r="X20" s="129">
        <f>N20-U20-M20</f>
        <v>0</v>
      </c>
      <c r="Y20" s="129">
        <f>N20-U20</f>
        <v>0</v>
      </c>
      <c r="Z20" s="129">
        <f t="shared" si="13"/>
        <v>0</v>
      </c>
      <c r="AA20" s="129">
        <f t="shared" si="14"/>
        <v>0</v>
      </c>
    </row>
    <row r="21" spans="1:29" s="61" customFormat="1" x14ac:dyDescent="0.2">
      <c r="A21" s="121">
        <v>44621</v>
      </c>
      <c r="B21" s="193">
        <v>0</v>
      </c>
      <c r="C21" s="123">
        <v>0</v>
      </c>
      <c r="D21" s="106">
        <v>0</v>
      </c>
      <c r="E21" s="88">
        <v>0</v>
      </c>
      <c r="F21" s="100">
        <v>0</v>
      </c>
      <c r="G21" s="100">
        <v>0</v>
      </c>
      <c r="H21" s="90">
        <v>0</v>
      </c>
      <c r="I21" s="89">
        <v>0</v>
      </c>
      <c r="J21" s="104">
        <v>0</v>
      </c>
      <c r="K21" s="102">
        <v>0</v>
      </c>
      <c r="L21" s="100">
        <v>0</v>
      </c>
      <c r="M21" s="128">
        <v>0</v>
      </c>
      <c r="N21" s="88">
        <f t="shared" si="15"/>
        <v>0</v>
      </c>
      <c r="O21" s="106">
        <f t="shared" si="16"/>
        <v>0</v>
      </c>
      <c r="P21" s="88">
        <v>0</v>
      </c>
      <c r="Q21" s="100">
        <v>0</v>
      </c>
      <c r="R21" s="100">
        <v>0</v>
      </c>
      <c r="S21" s="90">
        <v>0</v>
      </c>
      <c r="T21" s="90">
        <v>0</v>
      </c>
      <c r="U21" s="104">
        <v>0</v>
      </c>
      <c r="V21" s="129">
        <f t="shared" ref="V21:V30" si="17">C21+G21</f>
        <v>0</v>
      </c>
      <c r="W21" s="129">
        <f t="shared" si="11"/>
        <v>0</v>
      </c>
      <c r="X21" s="129">
        <f t="shared" si="12"/>
        <v>0</v>
      </c>
      <c r="Y21" s="129">
        <f t="shared" ref="Y21:Y30" si="18">N21-U21</f>
        <v>0</v>
      </c>
      <c r="Z21" s="129">
        <f t="shared" si="13"/>
        <v>0</v>
      </c>
      <c r="AA21" s="129">
        <f t="shared" si="14"/>
        <v>0</v>
      </c>
    </row>
    <row r="22" spans="1:29" s="61" customFormat="1" x14ac:dyDescent="0.2">
      <c r="A22" s="121">
        <v>44652</v>
      </c>
      <c r="B22" s="193">
        <v>3000</v>
      </c>
      <c r="C22" s="123">
        <v>252.89999999999998</v>
      </c>
      <c r="D22" s="106">
        <v>1</v>
      </c>
      <c r="E22" s="88">
        <v>0</v>
      </c>
      <c r="F22" s="100">
        <v>0</v>
      </c>
      <c r="G22" s="100">
        <v>0</v>
      </c>
      <c r="H22" s="90">
        <v>0</v>
      </c>
      <c r="I22" s="89">
        <v>0</v>
      </c>
      <c r="J22" s="104">
        <v>0</v>
      </c>
      <c r="K22" s="102">
        <v>0</v>
      </c>
      <c r="L22" s="102">
        <v>0</v>
      </c>
      <c r="M22" s="104">
        <v>0</v>
      </c>
      <c r="N22" s="88">
        <f t="shared" si="15"/>
        <v>3000</v>
      </c>
      <c r="O22" s="106">
        <f t="shared" si="16"/>
        <v>252.89999999999998</v>
      </c>
      <c r="P22" s="88">
        <v>0</v>
      </c>
      <c r="Q22" s="100">
        <v>0</v>
      </c>
      <c r="R22" s="100">
        <v>0</v>
      </c>
      <c r="S22" s="90">
        <v>0</v>
      </c>
      <c r="T22" s="90">
        <v>0</v>
      </c>
      <c r="U22" s="104">
        <v>0</v>
      </c>
      <c r="V22" s="129">
        <f t="shared" si="17"/>
        <v>252.89999999999998</v>
      </c>
      <c r="W22" s="129">
        <f t="shared" si="11"/>
        <v>0</v>
      </c>
      <c r="X22" s="129">
        <f t="shared" si="12"/>
        <v>3000</v>
      </c>
      <c r="Y22" s="129">
        <f t="shared" si="18"/>
        <v>3000</v>
      </c>
      <c r="Z22" s="129">
        <f t="shared" si="13"/>
        <v>0</v>
      </c>
      <c r="AA22" s="129">
        <f t="shared" si="14"/>
        <v>0</v>
      </c>
    </row>
    <row r="23" spans="1:29" s="61" customFormat="1" x14ac:dyDescent="0.2">
      <c r="A23" s="121">
        <v>44682</v>
      </c>
      <c r="B23" s="193">
        <v>0</v>
      </c>
      <c r="C23" s="123">
        <v>0</v>
      </c>
      <c r="D23" s="106">
        <v>0</v>
      </c>
      <c r="E23" s="88">
        <v>0</v>
      </c>
      <c r="F23" s="100">
        <v>0</v>
      </c>
      <c r="G23" s="100">
        <v>0</v>
      </c>
      <c r="H23" s="90">
        <v>0</v>
      </c>
      <c r="I23" s="89">
        <v>0</v>
      </c>
      <c r="J23" s="104">
        <v>0</v>
      </c>
      <c r="K23" s="102">
        <v>0</v>
      </c>
      <c r="L23" s="100">
        <v>0</v>
      </c>
      <c r="M23" s="104">
        <v>0</v>
      </c>
      <c r="N23" s="88">
        <f t="shared" si="15"/>
        <v>0</v>
      </c>
      <c r="O23" s="106">
        <f t="shared" si="16"/>
        <v>0</v>
      </c>
      <c r="P23" s="88">
        <v>0</v>
      </c>
      <c r="Q23" s="100">
        <v>0</v>
      </c>
      <c r="R23" s="100">
        <v>0</v>
      </c>
      <c r="S23" s="90">
        <v>0</v>
      </c>
      <c r="T23" s="90">
        <v>0</v>
      </c>
      <c r="U23" s="104">
        <v>0</v>
      </c>
      <c r="V23" s="129">
        <f t="shared" si="17"/>
        <v>0</v>
      </c>
      <c r="W23" s="129">
        <f t="shared" si="11"/>
        <v>0</v>
      </c>
      <c r="X23" s="129">
        <f t="shared" si="12"/>
        <v>0</v>
      </c>
      <c r="Y23" s="129">
        <f t="shared" si="18"/>
        <v>0</v>
      </c>
      <c r="Z23" s="129">
        <f t="shared" si="13"/>
        <v>0</v>
      </c>
      <c r="AA23" s="129">
        <f t="shared" si="14"/>
        <v>0</v>
      </c>
    </row>
    <row r="24" spans="1:29" s="61" customFormat="1" x14ac:dyDescent="0.2">
      <c r="A24" s="121">
        <v>44713</v>
      </c>
      <c r="B24" s="193">
        <v>4753.3500000000004</v>
      </c>
      <c r="C24" s="123">
        <v>1011.5999999999999</v>
      </c>
      <c r="D24" s="106">
        <v>4</v>
      </c>
      <c r="E24" s="88">
        <v>0</v>
      </c>
      <c r="F24" s="100">
        <v>0</v>
      </c>
      <c r="G24" s="100">
        <v>0</v>
      </c>
      <c r="H24" s="90">
        <v>0</v>
      </c>
      <c r="I24" s="89">
        <v>0</v>
      </c>
      <c r="J24" s="104">
        <v>0</v>
      </c>
      <c r="K24" s="102">
        <v>0</v>
      </c>
      <c r="L24" s="100">
        <v>0</v>
      </c>
      <c r="M24" s="104">
        <v>0</v>
      </c>
      <c r="N24" s="88">
        <f t="shared" si="15"/>
        <v>4753.3500000000004</v>
      </c>
      <c r="O24" s="106">
        <f>C24+G24+R24</f>
        <v>1011.5999999999999</v>
      </c>
      <c r="P24" s="88">
        <v>0</v>
      </c>
      <c r="Q24" s="100">
        <v>0</v>
      </c>
      <c r="R24" s="100">
        <v>0</v>
      </c>
      <c r="S24" s="90">
        <v>0</v>
      </c>
      <c r="T24" s="90">
        <v>0</v>
      </c>
      <c r="U24" s="104">
        <v>0</v>
      </c>
      <c r="V24" s="129">
        <f>C24+G24</f>
        <v>1011.5999999999999</v>
      </c>
      <c r="W24" s="129">
        <f t="shared" si="11"/>
        <v>0</v>
      </c>
      <c r="X24" s="129">
        <f t="shared" si="12"/>
        <v>4753.3500000000004</v>
      </c>
      <c r="Y24" s="129">
        <f t="shared" si="18"/>
        <v>4753.3500000000004</v>
      </c>
      <c r="Z24" s="129">
        <f t="shared" si="13"/>
        <v>0</v>
      </c>
      <c r="AA24" s="129">
        <f t="shared" si="14"/>
        <v>0</v>
      </c>
    </row>
    <row r="25" spans="1:29" s="61" customFormat="1" x14ac:dyDescent="0.2">
      <c r="A25" s="121">
        <v>44743</v>
      </c>
      <c r="B25" s="193">
        <v>0</v>
      </c>
      <c r="C25" s="123">
        <v>0</v>
      </c>
      <c r="D25" s="106">
        <v>0</v>
      </c>
      <c r="E25" s="88">
        <v>0</v>
      </c>
      <c r="F25" s="100">
        <v>0</v>
      </c>
      <c r="G25" s="100">
        <v>0</v>
      </c>
      <c r="H25" s="90">
        <v>0</v>
      </c>
      <c r="I25" s="89">
        <v>0</v>
      </c>
      <c r="J25" s="104">
        <v>0</v>
      </c>
      <c r="K25" s="102">
        <v>0</v>
      </c>
      <c r="L25" s="100">
        <v>0</v>
      </c>
      <c r="M25" s="104">
        <v>0</v>
      </c>
      <c r="N25" s="88">
        <f t="shared" si="15"/>
        <v>0</v>
      </c>
      <c r="O25" s="106">
        <f t="shared" si="16"/>
        <v>0</v>
      </c>
      <c r="P25" s="88">
        <v>0</v>
      </c>
      <c r="Q25" s="100">
        <v>0</v>
      </c>
      <c r="R25" s="100">
        <v>0</v>
      </c>
      <c r="S25" s="90">
        <v>0</v>
      </c>
      <c r="T25" s="90">
        <v>0</v>
      </c>
      <c r="U25" s="104">
        <v>0</v>
      </c>
      <c r="V25" s="129">
        <f t="shared" si="17"/>
        <v>0</v>
      </c>
      <c r="W25" s="129">
        <f t="shared" si="11"/>
        <v>0</v>
      </c>
      <c r="X25" s="129">
        <f t="shared" si="12"/>
        <v>0</v>
      </c>
      <c r="Y25" s="129">
        <f t="shared" si="18"/>
        <v>0</v>
      </c>
      <c r="Z25" s="129">
        <f t="shared" si="13"/>
        <v>0</v>
      </c>
      <c r="AA25" s="129">
        <f t="shared" si="14"/>
        <v>0</v>
      </c>
    </row>
    <row r="26" spans="1:29" s="61" customFormat="1" x14ac:dyDescent="0.2">
      <c r="A26" s="121">
        <v>44774</v>
      </c>
      <c r="B26" s="193">
        <v>0</v>
      </c>
      <c r="C26" s="123">
        <v>0</v>
      </c>
      <c r="D26" s="106">
        <v>0</v>
      </c>
      <c r="E26" s="88">
        <v>0</v>
      </c>
      <c r="F26" s="100">
        <v>0</v>
      </c>
      <c r="G26" s="100">
        <v>0</v>
      </c>
      <c r="H26" s="90">
        <v>0</v>
      </c>
      <c r="I26" s="89">
        <v>0</v>
      </c>
      <c r="J26" s="104">
        <v>0</v>
      </c>
      <c r="K26" s="102">
        <v>0</v>
      </c>
      <c r="L26" s="100">
        <v>0</v>
      </c>
      <c r="M26" s="104">
        <v>0</v>
      </c>
      <c r="N26" s="88">
        <f t="shared" si="15"/>
        <v>0</v>
      </c>
      <c r="O26" s="106">
        <f t="shared" si="16"/>
        <v>0</v>
      </c>
      <c r="P26" s="88">
        <v>0</v>
      </c>
      <c r="Q26" s="100">
        <v>0</v>
      </c>
      <c r="R26" s="100">
        <v>0</v>
      </c>
      <c r="S26" s="90">
        <v>0</v>
      </c>
      <c r="T26" s="90">
        <v>0</v>
      </c>
      <c r="U26" s="104">
        <v>0</v>
      </c>
      <c r="V26" s="129">
        <f t="shared" si="17"/>
        <v>0</v>
      </c>
      <c r="W26" s="129">
        <f t="shared" si="11"/>
        <v>0</v>
      </c>
      <c r="X26" s="129">
        <f t="shared" si="12"/>
        <v>0</v>
      </c>
      <c r="Y26" s="129">
        <f t="shared" si="18"/>
        <v>0</v>
      </c>
      <c r="Z26" s="129">
        <f t="shared" si="13"/>
        <v>0</v>
      </c>
      <c r="AA26" s="129">
        <f t="shared" si="14"/>
        <v>0</v>
      </c>
    </row>
    <row r="27" spans="1:29" s="61" customFormat="1" x14ac:dyDescent="0.2">
      <c r="A27" s="121">
        <v>44805</v>
      </c>
      <c r="B27" s="193">
        <v>5598.45</v>
      </c>
      <c r="C27" s="123">
        <v>505.79999999999995</v>
      </c>
      <c r="D27" s="106">
        <v>2</v>
      </c>
      <c r="E27" s="88">
        <v>0</v>
      </c>
      <c r="F27" s="100">
        <v>0</v>
      </c>
      <c r="G27" s="100">
        <v>0</v>
      </c>
      <c r="H27" s="90">
        <v>0</v>
      </c>
      <c r="I27" s="89">
        <v>0</v>
      </c>
      <c r="J27" s="104">
        <v>0</v>
      </c>
      <c r="K27" s="102">
        <v>0</v>
      </c>
      <c r="L27" s="100">
        <v>0</v>
      </c>
      <c r="M27" s="104">
        <v>0</v>
      </c>
      <c r="N27" s="88">
        <f t="shared" si="15"/>
        <v>5598.45</v>
      </c>
      <c r="O27" s="106">
        <f t="shared" si="16"/>
        <v>505.79999999999995</v>
      </c>
      <c r="P27" s="88">
        <v>0</v>
      </c>
      <c r="Q27" s="100">
        <v>0</v>
      </c>
      <c r="R27" s="100">
        <v>0</v>
      </c>
      <c r="S27" s="90">
        <v>0</v>
      </c>
      <c r="T27" s="90">
        <v>0</v>
      </c>
      <c r="U27" s="104">
        <v>0</v>
      </c>
      <c r="V27" s="129">
        <f t="shared" si="17"/>
        <v>505.79999999999995</v>
      </c>
      <c r="W27" s="129">
        <f t="shared" si="11"/>
        <v>0</v>
      </c>
      <c r="X27" s="129">
        <f t="shared" si="12"/>
        <v>5598.45</v>
      </c>
      <c r="Y27" s="129">
        <f t="shared" si="18"/>
        <v>5598.45</v>
      </c>
      <c r="Z27" s="129">
        <f t="shared" si="13"/>
        <v>0</v>
      </c>
      <c r="AA27" s="129">
        <f t="shared" si="14"/>
        <v>0</v>
      </c>
    </row>
    <row r="28" spans="1:29" s="61" customFormat="1" x14ac:dyDescent="0.2">
      <c r="A28" s="121">
        <v>44835</v>
      </c>
      <c r="B28" s="193">
        <v>0</v>
      </c>
      <c r="C28" s="123">
        <v>0</v>
      </c>
      <c r="D28" s="106">
        <v>0</v>
      </c>
      <c r="E28" s="88">
        <v>0</v>
      </c>
      <c r="F28" s="100">
        <v>0</v>
      </c>
      <c r="G28" s="100">
        <v>0</v>
      </c>
      <c r="H28" s="90">
        <v>0</v>
      </c>
      <c r="I28" s="89">
        <v>0</v>
      </c>
      <c r="J28" s="104">
        <v>0</v>
      </c>
      <c r="K28" s="102">
        <v>0</v>
      </c>
      <c r="L28" s="100">
        <v>0</v>
      </c>
      <c r="M28" s="73">
        <v>0</v>
      </c>
      <c r="N28" s="88">
        <f t="shared" si="15"/>
        <v>0</v>
      </c>
      <c r="O28" s="106">
        <f t="shared" si="16"/>
        <v>0</v>
      </c>
      <c r="P28" s="88">
        <v>0</v>
      </c>
      <c r="Q28" s="100">
        <v>0</v>
      </c>
      <c r="R28" s="100">
        <v>0</v>
      </c>
      <c r="S28" s="90">
        <v>0</v>
      </c>
      <c r="T28" s="90">
        <v>0</v>
      </c>
      <c r="U28" s="104">
        <v>0</v>
      </c>
      <c r="V28" s="129">
        <f t="shared" si="17"/>
        <v>0</v>
      </c>
      <c r="W28" s="129">
        <f t="shared" si="11"/>
        <v>0</v>
      </c>
      <c r="X28" s="129">
        <f t="shared" si="12"/>
        <v>0</v>
      </c>
      <c r="Y28" s="129">
        <f t="shared" si="18"/>
        <v>0</v>
      </c>
      <c r="Z28" s="129">
        <f t="shared" si="13"/>
        <v>0</v>
      </c>
      <c r="AA28" s="129">
        <f t="shared" si="14"/>
        <v>0</v>
      </c>
    </row>
    <row r="29" spans="1:29" s="61" customFormat="1" x14ac:dyDescent="0.2">
      <c r="A29" s="121">
        <v>44866</v>
      </c>
      <c r="B29" s="193">
        <v>0</v>
      </c>
      <c r="C29" s="123">
        <v>0</v>
      </c>
      <c r="D29" s="106">
        <v>0</v>
      </c>
      <c r="E29" s="88">
        <v>0</v>
      </c>
      <c r="F29" s="100">
        <v>0</v>
      </c>
      <c r="G29" s="100">
        <v>0</v>
      </c>
      <c r="H29" s="90">
        <v>0</v>
      </c>
      <c r="I29" s="89">
        <v>0</v>
      </c>
      <c r="J29" s="104">
        <v>0</v>
      </c>
      <c r="K29" s="102">
        <v>0</v>
      </c>
      <c r="L29" s="100">
        <v>0</v>
      </c>
      <c r="M29" s="104">
        <v>0</v>
      </c>
      <c r="N29" s="88">
        <f t="shared" si="15"/>
        <v>0</v>
      </c>
      <c r="O29" s="106">
        <f t="shared" si="16"/>
        <v>0</v>
      </c>
      <c r="P29" s="88">
        <v>0</v>
      </c>
      <c r="Q29" s="100">
        <v>0</v>
      </c>
      <c r="R29" s="100">
        <v>0</v>
      </c>
      <c r="S29" s="90">
        <v>0</v>
      </c>
      <c r="T29" s="90">
        <v>0</v>
      </c>
      <c r="U29" s="104">
        <v>0</v>
      </c>
      <c r="V29" s="129">
        <f t="shared" si="17"/>
        <v>0</v>
      </c>
      <c r="W29" s="129">
        <f t="shared" si="11"/>
        <v>0</v>
      </c>
      <c r="X29" s="129">
        <f t="shared" si="12"/>
        <v>0</v>
      </c>
      <c r="Y29" s="129">
        <f t="shared" si="18"/>
        <v>0</v>
      </c>
      <c r="Z29" s="129">
        <f t="shared" si="13"/>
        <v>0</v>
      </c>
      <c r="AA29" s="129">
        <f t="shared" si="14"/>
        <v>0</v>
      </c>
    </row>
    <row r="30" spans="1:29" s="61" customFormat="1" ht="13.5" thickBot="1" x14ac:dyDescent="0.25">
      <c r="A30" s="124">
        <v>44896</v>
      </c>
      <c r="B30" s="107">
        <v>0</v>
      </c>
      <c r="C30" s="108">
        <v>0</v>
      </c>
      <c r="D30" s="109">
        <v>0</v>
      </c>
      <c r="E30" s="110">
        <v>0</v>
      </c>
      <c r="F30" s="111">
        <v>0</v>
      </c>
      <c r="G30" s="111">
        <v>0</v>
      </c>
      <c r="H30" s="107">
        <v>0</v>
      </c>
      <c r="I30" s="107">
        <v>0</v>
      </c>
      <c r="J30" s="112">
        <v>0</v>
      </c>
      <c r="K30" s="113">
        <v>0</v>
      </c>
      <c r="L30" s="111">
        <v>0</v>
      </c>
      <c r="M30" s="112">
        <v>0</v>
      </c>
      <c r="N30" s="119">
        <f t="shared" si="15"/>
        <v>0</v>
      </c>
      <c r="O30" s="109">
        <f t="shared" si="16"/>
        <v>0</v>
      </c>
      <c r="P30" s="110">
        <v>0</v>
      </c>
      <c r="Q30" s="111">
        <v>0</v>
      </c>
      <c r="R30" s="111">
        <v>0</v>
      </c>
      <c r="S30" s="107">
        <v>0</v>
      </c>
      <c r="T30" s="107">
        <v>0</v>
      </c>
      <c r="U30" s="112">
        <v>0</v>
      </c>
      <c r="V30" s="129">
        <f t="shared" si="17"/>
        <v>0</v>
      </c>
      <c r="W30" s="129">
        <f t="shared" si="11"/>
        <v>0</v>
      </c>
      <c r="X30" s="129">
        <f t="shared" si="12"/>
        <v>0</v>
      </c>
      <c r="Y30" s="129">
        <f t="shared" si="18"/>
        <v>0</v>
      </c>
      <c r="Z30" s="129">
        <f t="shared" si="13"/>
        <v>0</v>
      </c>
      <c r="AA30" s="129">
        <f t="shared" si="14"/>
        <v>0</v>
      </c>
    </row>
    <row r="31" spans="1:29" s="61" customFormat="1" ht="13.5" thickTop="1" x14ac:dyDescent="0.2">
      <c r="A31" s="114" t="s">
        <v>112</v>
      </c>
      <c r="B31" s="70">
        <f>SUM(B19:B30)</f>
        <v>13351.8</v>
      </c>
      <c r="C31" s="115">
        <f t="shared" ref="C31:U31" si="19">SUM(C19:C30)</f>
        <v>1770.3</v>
      </c>
      <c r="D31" s="116">
        <f t="shared" si="19"/>
        <v>7</v>
      </c>
      <c r="E31" s="72">
        <f t="shared" si="19"/>
        <v>0</v>
      </c>
      <c r="F31" s="75">
        <f t="shared" si="19"/>
        <v>0</v>
      </c>
      <c r="G31" s="75">
        <f t="shared" si="19"/>
        <v>0</v>
      </c>
      <c r="H31" s="70">
        <f t="shared" si="19"/>
        <v>0</v>
      </c>
      <c r="I31" s="70">
        <f t="shared" si="19"/>
        <v>0</v>
      </c>
      <c r="J31" s="74">
        <f t="shared" si="19"/>
        <v>0</v>
      </c>
      <c r="K31" s="117">
        <f t="shared" si="19"/>
        <v>0</v>
      </c>
      <c r="L31" s="75">
        <f t="shared" si="19"/>
        <v>0</v>
      </c>
      <c r="M31" s="74">
        <f t="shared" si="19"/>
        <v>0</v>
      </c>
      <c r="N31" s="72">
        <f t="shared" si="19"/>
        <v>13351.8</v>
      </c>
      <c r="O31" s="116">
        <f t="shared" si="19"/>
        <v>1770.3</v>
      </c>
      <c r="P31" s="72">
        <f t="shared" si="19"/>
        <v>0</v>
      </c>
      <c r="Q31" s="75">
        <f t="shared" si="19"/>
        <v>0</v>
      </c>
      <c r="R31" s="75">
        <f t="shared" si="19"/>
        <v>0</v>
      </c>
      <c r="S31" s="70">
        <f t="shared" si="19"/>
        <v>0</v>
      </c>
      <c r="T31" s="70">
        <f t="shared" si="19"/>
        <v>0</v>
      </c>
      <c r="U31" s="126">
        <f t="shared" si="19"/>
        <v>0</v>
      </c>
      <c r="V31" s="129"/>
      <c r="W31" s="129"/>
      <c r="X31" s="129"/>
      <c r="Y31" s="129"/>
      <c r="Z31" s="129"/>
      <c r="AA31" s="129"/>
    </row>
    <row r="32" spans="1:29" s="61" customFormat="1" ht="13.5" thickBot="1" x14ac:dyDescent="0.25">
      <c r="A32" s="87" t="s">
        <v>106</v>
      </c>
      <c r="B32" s="69">
        <f>B31+B18</f>
        <v>3603229.35</v>
      </c>
      <c r="C32" s="91">
        <f t="shared" ref="C32:U32" si="20">C31+C18</f>
        <v>357390.48000000004</v>
      </c>
      <c r="D32" s="92">
        <f t="shared" si="20"/>
        <v>2006</v>
      </c>
      <c r="E32" s="66">
        <f t="shared" si="20"/>
        <v>3565964.6115000001</v>
      </c>
      <c r="F32" s="71">
        <f t="shared" si="20"/>
        <v>13552</v>
      </c>
      <c r="G32" s="71">
        <f t="shared" si="20"/>
        <v>1055443.4657468749</v>
      </c>
      <c r="H32" s="69">
        <f t="shared" si="20"/>
        <v>460561.42846000014</v>
      </c>
      <c r="I32" s="69">
        <f t="shared" si="20"/>
        <v>129556.41669</v>
      </c>
      <c r="J32" s="118">
        <f t="shared" si="20"/>
        <v>4156082.4566500001</v>
      </c>
      <c r="K32" s="67">
        <f t="shared" si="20"/>
        <v>142</v>
      </c>
      <c r="L32" s="71">
        <f t="shared" si="20"/>
        <v>11308</v>
      </c>
      <c r="M32" s="118">
        <f t="shared" si="20"/>
        <v>35760.53</v>
      </c>
      <c r="N32" s="66">
        <f t="shared" si="20"/>
        <v>7968608.1001000004</v>
      </c>
      <c r="O32" s="92">
        <f t="shared" si="20"/>
        <v>1458242.8409089348</v>
      </c>
      <c r="P32" s="66">
        <f t="shared" si="20"/>
        <v>136773.40760000001</v>
      </c>
      <c r="Q32" s="120">
        <f t="shared" si="20"/>
        <v>453</v>
      </c>
      <c r="R32" s="120">
        <f t="shared" si="20"/>
        <v>48031.669007979035</v>
      </c>
      <c r="S32" s="66">
        <f t="shared" si="20"/>
        <v>38923.881540000009</v>
      </c>
      <c r="T32" s="66">
        <f t="shared" si="20"/>
        <v>11143.924309999999</v>
      </c>
      <c r="U32" s="118">
        <f t="shared" si="20"/>
        <v>186841.21345000001</v>
      </c>
      <c r="V32" s="129"/>
      <c r="W32" s="129"/>
      <c r="X32" s="129"/>
      <c r="Y32" s="129"/>
      <c r="Z32" s="129"/>
      <c r="AA32" s="129"/>
    </row>
    <row r="33" spans="1:31" s="61" customFormat="1" x14ac:dyDescent="0.2">
      <c r="A33" s="93"/>
      <c r="B33" s="94"/>
      <c r="C33" s="95"/>
      <c r="D33" s="95"/>
      <c r="E33" s="94"/>
      <c r="F33" s="96"/>
      <c r="G33" s="96"/>
      <c r="H33" s="94"/>
      <c r="I33" s="94"/>
      <c r="J33" s="94"/>
      <c r="K33" s="96"/>
      <c r="L33" s="96"/>
      <c r="M33" s="94"/>
      <c r="N33" s="94"/>
      <c r="O33" s="95"/>
      <c r="P33" s="94"/>
      <c r="Q33" s="95"/>
      <c r="R33" s="95"/>
      <c r="S33" s="94"/>
      <c r="T33" s="94"/>
      <c r="U33" s="94"/>
      <c r="V33" s="129"/>
      <c r="W33" s="129"/>
      <c r="X33" s="129"/>
      <c r="Y33" s="129"/>
      <c r="Z33" s="129"/>
      <c r="AA33" s="129"/>
    </row>
    <row r="34" spans="1:31" s="61" customFormat="1" x14ac:dyDescent="0.2">
      <c r="A34" s="93"/>
      <c r="B34" s="94"/>
      <c r="C34" s="95"/>
      <c r="D34" s="95"/>
      <c r="E34" s="94"/>
      <c r="F34" s="96"/>
      <c r="G34" s="96"/>
      <c r="H34" s="94"/>
      <c r="I34" s="94"/>
      <c r="J34" s="94"/>
      <c r="K34" s="96"/>
      <c r="L34" s="96"/>
      <c r="M34" s="94"/>
      <c r="N34" s="94"/>
      <c r="O34" s="95"/>
      <c r="AD34"/>
      <c r="AE34"/>
    </row>
    <row r="35" spans="1:31" s="61" customFormat="1" x14ac:dyDescent="0.2">
      <c r="A35" s="64"/>
      <c r="K35" s="65"/>
      <c r="AD35"/>
      <c r="AE35"/>
    </row>
    <row r="36" spans="1:31" x14ac:dyDescent="0.2">
      <c r="A36" s="64"/>
      <c r="B36" s="60"/>
      <c r="C36" s="60"/>
      <c r="D36" s="60"/>
      <c r="E36" s="60"/>
      <c r="F36" s="61"/>
      <c r="G36" s="61"/>
      <c r="H36" s="61"/>
      <c r="I36" s="61"/>
      <c r="J36" s="6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0"/>
      <c r="W36" s="60"/>
      <c r="X36" s="60"/>
      <c r="Y36" s="60"/>
      <c r="Z36" s="60"/>
      <c r="AA36" s="60"/>
      <c r="AB36" s="60"/>
      <c r="AC36" s="60"/>
    </row>
    <row r="37" spans="1:31" x14ac:dyDescent="0.2">
      <c r="A37" s="64"/>
      <c r="B37" s="60"/>
      <c r="C37" s="60"/>
      <c r="D37" s="60"/>
      <c r="E37" s="60"/>
      <c r="F37" s="61"/>
      <c r="G37" s="61"/>
      <c r="H37" s="61"/>
      <c r="I37" s="61"/>
      <c r="J37" s="61"/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0"/>
      <c r="W37" s="60"/>
      <c r="X37" s="60"/>
      <c r="Y37" s="60"/>
      <c r="Z37" s="60"/>
      <c r="AA37" s="60"/>
      <c r="AB37" s="60"/>
      <c r="AC37" s="60"/>
    </row>
    <row r="38" spans="1:31" x14ac:dyDescent="0.2">
      <c r="A38" s="64"/>
      <c r="B38" s="60"/>
      <c r="C38" s="60"/>
      <c r="D38" s="60"/>
      <c r="E38" s="60"/>
      <c r="F38" s="61"/>
      <c r="G38" s="61"/>
      <c r="H38" s="61"/>
      <c r="I38" s="61"/>
      <c r="J38" s="61"/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0"/>
      <c r="W38" s="60"/>
      <c r="X38" s="60"/>
      <c r="Y38" s="60"/>
      <c r="Z38" s="60"/>
      <c r="AA38" s="60"/>
      <c r="AB38" s="60"/>
      <c r="AC38" s="60"/>
    </row>
    <row r="39" spans="1:31" x14ac:dyDescent="0.2">
      <c r="A39" s="64"/>
      <c r="B39" s="60"/>
      <c r="C39" s="60"/>
      <c r="D39" s="60"/>
      <c r="E39" s="60"/>
      <c r="F39" s="61"/>
      <c r="G39" s="61"/>
      <c r="H39" s="61"/>
      <c r="I39" s="61"/>
      <c r="J39" s="61"/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0"/>
      <c r="W39" s="60"/>
      <c r="X39" s="60"/>
      <c r="Y39" s="60"/>
      <c r="Z39" s="60"/>
      <c r="AA39" s="60"/>
      <c r="AB39" s="60"/>
      <c r="AC39" s="60"/>
    </row>
    <row r="40" spans="1:31" x14ac:dyDescent="0.2">
      <c r="A40" s="64"/>
      <c r="B40" s="60"/>
      <c r="C40" s="60"/>
      <c r="D40" s="60"/>
      <c r="E40" s="60"/>
      <c r="F40" s="61"/>
      <c r="G40" s="61"/>
      <c r="H40" s="61"/>
      <c r="I40" s="61"/>
      <c r="J40" s="61"/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0"/>
      <c r="W40" s="60"/>
      <c r="X40" s="60"/>
      <c r="Y40" s="60"/>
      <c r="Z40" s="60"/>
      <c r="AA40" s="60"/>
      <c r="AB40" s="60"/>
      <c r="AC40" s="60"/>
    </row>
    <row r="41" spans="1:31" x14ac:dyDescent="0.2">
      <c r="A41" s="64"/>
      <c r="B41" s="60"/>
      <c r="C41" s="60"/>
      <c r="D41" s="60"/>
      <c r="E41" s="60"/>
      <c r="F41" s="61"/>
      <c r="G41" s="61"/>
      <c r="H41" s="61"/>
      <c r="I41" s="61"/>
      <c r="J41" s="61"/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60"/>
      <c r="X41" s="60"/>
      <c r="Y41" s="60"/>
      <c r="Z41" s="60"/>
      <c r="AA41" s="60"/>
      <c r="AB41" s="60"/>
      <c r="AC41" s="60"/>
    </row>
    <row r="42" spans="1:31" x14ac:dyDescent="0.2">
      <c r="A42" s="64"/>
      <c r="B42" s="60"/>
      <c r="C42" s="60"/>
      <c r="D42" s="60"/>
      <c r="E42" s="60"/>
      <c r="F42" s="61"/>
      <c r="G42" s="61"/>
      <c r="H42" s="61"/>
      <c r="I42" s="61"/>
      <c r="J42" s="61"/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0"/>
      <c r="W42" s="60"/>
      <c r="X42" s="60"/>
      <c r="Y42" s="60"/>
      <c r="Z42" s="60"/>
      <c r="AA42" s="60"/>
      <c r="AB42" s="60"/>
      <c r="AC42" s="60"/>
    </row>
    <row r="43" spans="1:31" x14ac:dyDescent="0.2">
      <c r="A43" s="64"/>
      <c r="B43" s="60"/>
      <c r="C43" s="60"/>
      <c r="D43" s="60"/>
      <c r="E43" s="60"/>
      <c r="F43" s="61"/>
      <c r="G43" s="61"/>
      <c r="H43" s="61"/>
      <c r="I43" s="61"/>
      <c r="J43" s="61"/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0"/>
      <c r="W43" s="60"/>
      <c r="X43" s="60"/>
      <c r="Y43" s="60"/>
      <c r="Z43" s="60"/>
      <c r="AA43" s="60"/>
      <c r="AB43" s="60"/>
      <c r="AC43" s="60"/>
    </row>
    <row r="44" spans="1:31" x14ac:dyDescent="0.2">
      <c r="A44" s="64"/>
      <c r="B44" s="60"/>
      <c r="C44" s="60"/>
      <c r="D44" s="60"/>
      <c r="E44" s="60"/>
      <c r="F44" s="61"/>
      <c r="G44" s="61"/>
      <c r="H44" s="61"/>
      <c r="I44" s="61"/>
      <c r="J44" s="61"/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0"/>
      <c r="W44" s="60"/>
      <c r="X44" s="60"/>
      <c r="Y44" s="60"/>
      <c r="Z44" s="60"/>
      <c r="AA44" s="60"/>
      <c r="AB44" s="60"/>
      <c r="AC44" s="60"/>
    </row>
    <row r="45" spans="1:31" x14ac:dyDescent="0.2">
      <c r="A45" s="64"/>
      <c r="B45" s="60"/>
      <c r="C45" s="60"/>
      <c r="D45" s="60"/>
      <c r="E45" s="60"/>
      <c r="F45" s="61"/>
      <c r="G45" s="61"/>
      <c r="H45" s="61"/>
      <c r="I45" s="61"/>
      <c r="J45" s="61"/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0"/>
      <c r="W45" s="60"/>
      <c r="X45" s="60"/>
      <c r="Y45" s="60"/>
      <c r="Z45" s="60"/>
      <c r="AA45" s="60"/>
      <c r="AB45" s="60"/>
      <c r="AC45" s="60"/>
    </row>
    <row r="46" spans="1:31" x14ac:dyDescent="0.2">
      <c r="A46" s="64"/>
      <c r="B46" s="60"/>
      <c r="C46" s="60"/>
      <c r="D46" s="60"/>
      <c r="E46" s="60"/>
      <c r="F46" s="61"/>
      <c r="G46" s="61"/>
      <c r="H46" s="61"/>
      <c r="I46" s="61"/>
      <c r="J46" s="61"/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0"/>
      <c r="W46" s="60"/>
      <c r="X46" s="60"/>
      <c r="Y46" s="60"/>
      <c r="Z46" s="60"/>
      <c r="AA46" s="60"/>
      <c r="AB46" s="60"/>
      <c r="AC46" s="60"/>
    </row>
    <row r="47" spans="1:31" x14ac:dyDescent="0.2">
      <c r="A47" s="64"/>
      <c r="B47" s="60"/>
      <c r="C47" s="60"/>
      <c r="D47" s="60"/>
      <c r="E47" s="60"/>
      <c r="F47" s="61"/>
      <c r="G47" s="61"/>
      <c r="H47" s="61"/>
      <c r="I47" s="61"/>
      <c r="J47" s="61"/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0"/>
      <c r="W47" s="60"/>
      <c r="X47" s="60"/>
      <c r="Y47" s="60"/>
      <c r="Z47" s="60"/>
      <c r="AA47" s="60"/>
      <c r="AB47" s="60"/>
      <c r="AC47" s="60"/>
    </row>
    <row r="48" spans="1:31" x14ac:dyDescent="0.2">
      <c r="A48" s="64"/>
      <c r="B48" s="60"/>
      <c r="C48" s="60"/>
      <c r="D48" s="60"/>
      <c r="E48" s="60"/>
      <c r="F48" s="61"/>
      <c r="G48" s="61"/>
      <c r="H48" s="61"/>
      <c r="I48" s="61"/>
      <c r="J48" s="61"/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0"/>
      <c r="W48" s="60"/>
      <c r="X48" s="60"/>
      <c r="Y48" s="60"/>
      <c r="Z48" s="60"/>
      <c r="AA48" s="60"/>
      <c r="AB48" s="60"/>
      <c r="AC48" s="60"/>
    </row>
    <row r="49" spans="1:29" x14ac:dyDescent="0.2">
      <c r="A49" s="64"/>
      <c r="B49" s="60"/>
      <c r="C49" s="60"/>
      <c r="D49" s="60"/>
      <c r="E49" s="60"/>
      <c r="F49" s="61"/>
      <c r="G49" s="61"/>
      <c r="H49" s="61"/>
      <c r="I49" s="61"/>
      <c r="J49" s="61"/>
      <c r="K49" s="65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0"/>
      <c r="W49" s="60"/>
      <c r="X49" s="60"/>
      <c r="Y49" s="60"/>
      <c r="Z49" s="60"/>
      <c r="AA49" s="60"/>
      <c r="AB49" s="60"/>
      <c r="AC49" s="60"/>
    </row>
    <row r="50" spans="1:29" x14ac:dyDescent="0.2">
      <c r="A50" s="64"/>
      <c r="B50" s="60"/>
      <c r="C50" s="60"/>
      <c r="D50" s="60"/>
      <c r="E50" s="60"/>
      <c r="F50" s="61"/>
      <c r="G50" s="61"/>
      <c r="H50" s="61"/>
      <c r="I50" s="61"/>
      <c r="J50" s="61"/>
      <c r="K50" s="65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0"/>
      <c r="W50" s="60"/>
      <c r="X50" s="60"/>
      <c r="Y50" s="60"/>
      <c r="Z50" s="60"/>
      <c r="AA50" s="60"/>
      <c r="AB50" s="60"/>
      <c r="AC50" s="60"/>
    </row>
    <row r="51" spans="1:29" x14ac:dyDescent="0.2">
      <c r="A51" s="64"/>
      <c r="B51" s="60"/>
      <c r="C51" s="60"/>
      <c r="D51" s="60"/>
      <c r="E51" s="60"/>
      <c r="F51" s="61"/>
      <c r="G51" s="61"/>
      <c r="H51" s="61"/>
      <c r="I51" s="61"/>
      <c r="J51" s="61"/>
      <c r="K51" s="65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0"/>
      <c r="W51" s="60"/>
      <c r="X51" s="60"/>
      <c r="Y51" s="60"/>
      <c r="Z51" s="60"/>
      <c r="AA51" s="60"/>
      <c r="AB51" s="60"/>
      <c r="AC51" s="60"/>
    </row>
    <row r="52" spans="1:29" x14ac:dyDescent="0.2">
      <c r="A52" s="64"/>
      <c r="B52" s="60"/>
      <c r="C52" s="60"/>
      <c r="D52" s="60"/>
      <c r="E52" s="60"/>
      <c r="F52" s="61"/>
      <c r="G52" s="61"/>
      <c r="H52" s="61"/>
      <c r="I52" s="61"/>
      <c r="J52" s="61"/>
      <c r="K52" s="65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0"/>
      <c r="W52" s="60"/>
      <c r="X52" s="60"/>
      <c r="Y52" s="60"/>
      <c r="Z52" s="60"/>
      <c r="AA52" s="60"/>
      <c r="AB52" s="60"/>
      <c r="AC52" s="60"/>
    </row>
    <row r="53" spans="1:29" x14ac:dyDescent="0.2">
      <c r="A53" s="64"/>
      <c r="B53" s="60"/>
      <c r="C53" s="60"/>
      <c r="D53" s="60"/>
      <c r="E53" s="60"/>
      <c r="F53" s="61"/>
      <c r="G53" s="61"/>
      <c r="H53" s="61"/>
      <c r="I53" s="61"/>
      <c r="J53" s="61"/>
      <c r="K53" s="65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0"/>
      <c r="W53" s="60"/>
      <c r="X53" s="60"/>
      <c r="Y53" s="60"/>
      <c r="Z53" s="60"/>
      <c r="AA53" s="60"/>
      <c r="AB53" s="60"/>
      <c r="AC53" s="60"/>
    </row>
    <row r="54" spans="1:29" x14ac:dyDescent="0.2">
      <c r="A54" s="64"/>
      <c r="B54" s="60"/>
      <c r="C54" s="60"/>
      <c r="D54" s="60"/>
      <c r="E54" s="60"/>
      <c r="F54" s="61"/>
      <c r="G54" s="61"/>
      <c r="H54" s="61"/>
      <c r="I54" s="61"/>
      <c r="J54" s="61"/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0"/>
      <c r="W54" s="60"/>
      <c r="X54" s="60"/>
      <c r="Y54" s="60"/>
      <c r="Z54" s="60"/>
      <c r="AA54" s="60"/>
      <c r="AB54" s="60"/>
      <c r="AC54" s="60"/>
    </row>
    <row r="55" spans="1:29" x14ac:dyDescent="0.2">
      <c r="A55" s="64"/>
      <c r="B55" s="60"/>
      <c r="C55" s="60"/>
      <c r="D55" s="60"/>
      <c r="E55" s="60"/>
      <c r="F55" s="61"/>
      <c r="G55" s="61"/>
      <c r="H55" s="61"/>
      <c r="I55" s="61"/>
      <c r="J55" s="6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0"/>
      <c r="W55" s="60"/>
      <c r="X55" s="60"/>
      <c r="Y55" s="60"/>
      <c r="Z55" s="60"/>
      <c r="AA55" s="60"/>
      <c r="AB55" s="60"/>
      <c r="AC55" s="60"/>
    </row>
    <row r="56" spans="1:29" x14ac:dyDescent="0.2">
      <c r="A56" s="64"/>
      <c r="B56" s="60"/>
      <c r="C56" s="60"/>
      <c r="D56" s="60"/>
      <c r="E56" s="60"/>
      <c r="F56" s="61"/>
      <c r="G56" s="61"/>
      <c r="H56" s="61"/>
      <c r="I56" s="61"/>
      <c r="J56" s="61"/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0"/>
      <c r="W56" s="60"/>
      <c r="X56" s="60"/>
      <c r="Y56" s="60"/>
      <c r="Z56" s="60"/>
      <c r="AA56" s="60"/>
      <c r="AB56" s="60"/>
      <c r="AC56" s="60"/>
    </row>
    <row r="57" spans="1:29" x14ac:dyDescent="0.2">
      <c r="A57" s="64"/>
      <c r="B57" s="60"/>
      <c r="C57" s="60"/>
      <c r="D57" s="60"/>
      <c r="E57" s="60"/>
      <c r="F57" s="61"/>
      <c r="G57" s="61"/>
      <c r="H57" s="61"/>
      <c r="I57" s="61"/>
      <c r="J57" s="61"/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0"/>
      <c r="W57" s="60"/>
      <c r="X57" s="60"/>
      <c r="Y57" s="60"/>
      <c r="Z57" s="60"/>
      <c r="AA57" s="60"/>
      <c r="AB57" s="60"/>
      <c r="AC57" s="60"/>
    </row>
    <row r="58" spans="1:29" x14ac:dyDescent="0.2">
      <c r="A58" s="64"/>
      <c r="B58" s="60"/>
      <c r="C58" s="60"/>
      <c r="D58" s="60"/>
      <c r="E58" s="60"/>
      <c r="F58" s="61"/>
      <c r="G58" s="61"/>
      <c r="H58" s="61"/>
      <c r="I58" s="61"/>
      <c r="J58" s="61"/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0"/>
      <c r="W58" s="60"/>
      <c r="X58" s="60"/>
      <c r="Y58" s="60"/>
      <c r="Z58" s="60"/>
      <c r="AA58" s="60"/>
      <c r="AB58" s="60"/>
      <c r="AC58" s="60"/>
    </row>
    <row r="59" spans="1:29" x14ac:dyDescent="0.2">
      <c r="A59" s="64"/>
      <c r="B59" s="60"/>
      <c r="C59" s="60"/>
      <c r="D59" s="60"/>
      <c r="E59" s="60"/>
      <c r="F59" s="61"/>
      <c r="G59" s="61"/>
      <c r="H59" s="61"/>
      <c r="I59" s="61"/>
      <c r="J59" s="61"/>
      <c r="K59" s="65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0"/>
      <c r="W59" s="60"/>
      <c r="X59" s="60"/>
      <c r="Y59" s="60"/>
      <c r="Z59" s="60"/>
      <c r="AA59" s="60"/>
      <c r="AB59" s="60"/>
      <c r="AC59" s="60"/>
    </row>
    <row r="60" spans="1:29" x14ac:dyDescent="0.2">
      <c r="A60" s="64"/>
      <c r="B60" s="60"/>
      <c r="C60" s="60"/>
      <c r="D60" s="60"/>
      <c r="E60" s="60"/>
      <c r="F60" s="61"/>
      <c r="G60" s="61"/>
      <c r="H60" s="61"/>
      <c r="I60" s="61"/>
      <c r="J60" s="61"/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0"/>
      <c r="W60" s="60"/>
      <c r="X60" s="60"/>
      <c r="Y60" s="60"/>
      <c r="Z60" s="60"/>
      <c r="AA60" s="60"/>
      <c r="AB60" s="60"/>
      <c r="AC60" s="60"/>
    </row>
    <row r="61" spans="1:29" x14ac:dyDescent="0.2">
      <c r="A61" s="64"/>
      <c r="B61" s="60"/>
      <c r="C61" s="60"/>
      <c r="D61" s="60"/>
      <c r="E61" s="60"/>
      <c r="F61" s="61"/>
      <c r="G61" s="61"/>
      <c r="H61" s="61"/>
      <c r="I61" s="61"/>
      <c r="J61" s="61"/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0"/>
      <c r="W61" s="60"/>
      <c r="X61" s="60"/>
      <c r="Y61" s="60"/>
      <c r="Z61" s="60"/>
      <c r="AA61" s="60"/>
      <c r="AB61" s="60"/>
      <c r="AC61" s="60"/>
    </row>
    <row r="62" spans="1:29" x14ac:dyDescent="0.2">
      <c r="A62" s="64"/>
      <c r="B62" s="60"/>
      <c r="C62" s="60"/>
      <c r="D62" s="60"/>
      <c r="E62" s="60"/>
      <c r="F62" s="61"/>
      <c r="G62" s="61"/>
      <c r="H62" s="61"/>
      <c r="I62" s="61"/>
      <c r="J62" s="61"/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0"/>
      <c r="W62" s="60"/>
      <c r="X62" s="60"/>
      <c r="Y62" s="60"/>
      <c r="Z62" s="60"/>
      <c r="AA62" s="60"/>
      <c r="AB62" s="60"/>
      <c r="AC62" s="60"/>
    </row>
    <row r="63" spans="1:29" x14ac:dyDescent="0.2">
      <c r="A63" s="64"/>
      <c r="B63" s="60"/>
      <c r="C63" s="60"/>
      <c r="D63" s="60"/>
      <c r="E63" s="60"/>
      <c r="F63" s="61"/>
      <c r="G63" s="61"/>
      <c r="H63" s="61"/>
      <c r="I63" s="61"/>
      <c r="J63" s="61"/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0"/>
      <c r="W63" s="60"/>
      <c r="X63" s="60"/>
      <c r="Y63" s="60"/>
      <c r="Z63" s="60"/>
      <c r="AA63" s="60"/>
      <c r="AB63" s="60"/>
      <c r="AC63" s="60"/>
    </row>
    <row r="64" spans="1:29" x14ac:dyDescent="0.2">
      <c r="A64" s="64"/>
      <c r="B64" s="60"/>
      <c r="C64" s="60"/>
      <c r="D64" s="60"/>
      <c r="E64" s="60"/>
      <c r="F64" s="61"/>
      <c r="G64" s="61"/>
      <c r="H64" s="61"/>
      <c r="I64" s="61"/>
      <c r="J64" s="61"/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0"/>
      <c r="W64" s="60"/>
      <c r="X64" s="60"/>
      <c r="Y64" s="60"/>
      <c r="Z64" s="60"/>
      <c r="AA64" s="60"/>
      <c r="AB64" s="60"/>
      <c r="AC64" s="60"/>
    </row>
    <row r="65" spans="1:29" x14ac:dyDescent="0.2">
      <c r="A65" s="64"/>
      <c r="B65" s="60"/>
      <c r="C65" s="60"/>
      <c r="D65" s="60"/>
      <c r="E65" s="60"/>
      <c r="F65" s="61"/>
      <c r="G65" s="61"/>
      <c r="H65" s="61"/>
      <c r="I65" s="61"/>
      <c r="J65" s="61"/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0"/>
      <c r="W65" s="60"/>
      <c r="X65" s="60"/>
      <c r="Y65" s="60"/>
      <c r="Z65" s="60"/>
      <c r="AA65" s="60"/>
      <c r="AB65" s="60"/>
      <c r="AC65" s="60"/>
    </row>
    <row r="66" spans="1:29" x14ac:dyDescent="0.2">
      <c r="A66" s="64"/>
      <c r="B66" s="60"/>
      <c r="C66" s="60"/>
      <c r="D66" s="60"/>
      <c r="E66" s="60"/>
      <c r="F66" s="61"/>
      <c r="G66" s="61"/>
      <c r="H66" s="61"/>
      <c r="I66" s="61"/>
      <c r="J66" s="61"/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0"/>
      <c r="W66" s="60"/>
      <c r="X66" s="60"/>
      <c r="Y66" s="60"/>
      <c r="Z66" s="60"/>
      <c r="AA66" s="60"/>
      <c r="AB66" s="60"/>
      <c r="AC66" s="60"/>
    </row>
    <row r="67" spans="1:29" x14ac:dyDescent="0.2">
      <c r="A67" s="64"/>
      <c r="B67" s="60"/>
      <c r="C67" s="60"/>
      <c r="D67" s="60"/>
      <c r="E67" s="60"/>
      <c r="F67" s="61"/>
      <c r="G67" s="61"/>
      <c r="H67" s="61"/>
      <c r="I67" s="61"/>
      <c r="J67" s="61"/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0"/>
      <c r="W67" s="60"/>
      <c r="X67" s="60"/>
      <c r="Y67" s="60"/>
      <c r="Z67" s="60"/>
      <c r="AA67" s="60"/>
      <c r="AB67" s="60"/>
      <c r="AC67" s="60"/>
    </row>
    <row r="68" spans="1:29" x14ac:dyDescent="0.2">
      <c r="A68" s="64"/>
      <c r="B68" s="60"/>
      <c r="C68" s="60"/>
      <c r="D68" s="60"/>
      <c r="E68" s="60"/>
      <c r="F68" s="61"/>
      <c r="G68" s="61"/>
      <c r="H68" s="61"/>
      <c r="I68" s="61"/>
      <c r="J68" s="61"/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0"/>
      <c r="W68" s="60"/>
      <c r="X68" s="60"/>
      <c r="Y68" s="60"/>
      <c r="Z68" s="60"/>
      <c r="AA68" s="60"/>
      <c r="AB68" s="60"/>
      <c r="AC68" s="60"/>
    </row>
    <row r="69" spans="1:29" x14ac:dyDescent="0.2">
      <c r="A69" s="64"/>
      <c r="B69" s="60"/>
      <c r="C69" s="60"/>
      <c r="D69" s="60"/>
      <c r="E69" s="60"/>
      <c r="F69" s="61"/>
      <c r="G69" s="61"/>
      <c r="H69" s="61"/>
      <c r="I69" s="61"/>
      <c r="J69" s="61"/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0"/>
      <c r="W69" s="60"/>
      <c r="X69" s="60"/>
      <c r="Y69" s="60"/>
      <c r="Z69" s="60"/>
      <c r="AA69" s="60"/>
      <c r="AB69" s="60"/>
      <c r="AC69" s="60"/>
    </row>
    <row r="70" spans="1:29" x14ac:dyDescent="0.2">
      <c r="A70" s="64"/>
      <c r="B70" s="60"/>
      <c r="C70" s="60"/>
      <c r="D70" s="60"/>
      <c r="E70" s="60"/>
      <c r="F70" s="61"/>
      <c r="G70" s="61"/>
      <c r="H70" s="61"/>
      <c r="I70" s="61"/>
      <c r="J70" s="61"/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0"/>
      <c r="W70" s="60"/>
      <c r="X70" s="60"/>
      <c r="Y70" s="60"/>
      <c r="Z70" s="60"/>
      <c r="AA70" s="60"/>
      <c r="AB70" s="60"/>
      <c r="AC70" s="60"/>
    </row>
    <row r="71" spans="1:29" x14ac:dyDescent="0.2">
      <c r="A71" s="64"/>
      <c r="B71" s="60"/>
      <c r="C71" s="60"/>
      <c r="D71" s="60"/>
      <c r="E71" s="60"/>
      <c r="F71" s="61"/>
      <c r="G71" s="61"/>
      <c r="H71" s="61"/>
      <c r="I71" s="61"/>
      <c r="J71" s="61"/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0"/>
      <c r="W71" s="60"/>
      <c r="X71" s="60"/>
      <c r="Y71" s="60"/>
      <c r="Z71" s="60"/>
      <c r="AA71" s="60"/>
      <c r="AB71" s="60"/>
      <c r="AC71" s="60"/>
    </row>
    <row r="72" spans="1:29" x14ac:dyDescent="0.2">
      <c r="A72" s="64"/>
      <c r="B72" s="60"/>
      <c r="C72" s="60"/>
      <c r="D72" s="60"/>
      <c r="E72" s="60"/>
      <c r="F72" s="61"/>
      <c r="G72" s="61"/>
      <c r="H72" s="61"/>
      <c r="I72" s="61"/>
      <c r="J72" s="61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0"/>
      <c r="W72" s="60"/>
      <c r="X72" s="60"/>
      <c r="Y72" s="60"/>
      <c r="Z72" s="60"/>
      <c r="AA72" s="60"/>
      <c r="AB72" s="60"/>
      <c r="AC72" s="60"/>
    </row>
    <row r="73" spans="1:29" x14ac:dyDescent="0.2">
      <c r="A73" s="64"/>
      <c r="B73" s="60"/>
      <c r="C73" s="60"/>
      <c r="D73" s="60"/>
      <c r="E73" s="60"/>
      <c r="F73" s="61"/>
      <c r="G73" s="61"/>
      <c r="H73" s="61"/>
      <c r="I73" s="61"/>
      <c r="J73" s="61"/>
      <c r="K73" s="65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0"/>
      <c r="W73" s="60"/>
      <c r="X73" s="60"/>
      <c r="Y73" s="60"/>
      <c r="Z73" s="60"/>
      <c r="AA73" s="60"/>
      <c r="AB73" s="60"/>
      <c r="AC73" s="60"/>
    </row>
    <row r="74" spans="1:29" x14ac:dyDescent="0.2">
      <c r="A74" s="64"/>
      <c r="B74" s="60"/>
      <c r="C74" s="60"/>
      <c r="D74" s="60"/>
      <c r="E74" s="60"/>
      <c r="F74" s="61"/>
      <c r="G74" s="61"/>
      <c r="H74" s="61"/>
      <c r="I74" s="61"/>
      <c r="J74" s="61"/>
      <c r="K74" s="65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0"/>
      <c r="W74" s="60"/>
      <c r="X74" s="60"/>
      <c r="Y74" s="60"/>
      <c r="Z74" s="60"/>
      <c r="AA74" s="60"/>
      <c r="AB74" s="60"/>
      <c r="AC74" s="60"/>
    </row>
    <row r="75" spans="1:29" x14ac:dyDescent="0.2">
      <c r="A75" s="64"/>
      <c r="B75" s="60"/>
      <c r="C75" s="60"/>
      <c r="D75" s="60"/>
      <c r="E75" s="60"/>
      <c r="F75" s="61"/>
      <c r="G75" s="61"/>
      <c r="H75" s="61"/>
      <c r="I75" s="61"/>
      <c r="J75" s="61"/>
      <c r="K75" s="65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0"/>
      <c r="W75" s="60"/>
      <c r="X75" s="60"/>
      <c r="Y75" s="60"/>
      <c r="Z75" s="60"/>
      <c r="AA75" s="60"/>
      <c r="AB75" s="60"/>
      <c r="AC75" s="60"/>
    </row>
    <row r="76" spans="1:29" x14ac:dyDescent="0.2">
      <c r="A76" s="64"/>
      <c r="B76" s="60"/>
      <c r="C76" s="60"/>
      <c r="D76" s="60"/>
      <c r="E76" s="60"/>
      <c r="F76" s="61"/>
      <c r="G76" s="61"/>
      <c r="H76" s="61"/>
      <c r="I76" s="61"/>
      <c r="J76" s="61"/>
      <c r="K76" s="65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0"/>
      <c r="W76" s="60"/>
      <c r="X76" s="60"/>
      <c r="Y76" s="60"/>
      <c r="Z76" s="60"/>
      <c r="AA76" s="60"/>
      <c r="AB76" s="60"/>
      <c r="AC76" s="60"/>
    </row>
    <row r="77" spans="1:29" x14ac:dyDescent="0.2">
      <c r="A77" s="64"/>
      <c r="B77" s="60"/>
      <c r="C77" s="60"/>
      <c r="D77" s="60"/>
      <c r="E77" s="60"/>
      <c r="F77" s="61"/>
      <c r="G77" s="61"/>
      <c r="H77" s="61"/>
      <c r="I77" s="61"/>
      <c r="J77" s="61"/>
      <c r="K77" s="65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0"/>
      <c r="W77" s="60"/>
      <c r="X77" s="60"/>
      <c r="Y77" s="60"/>
      <c r="Z77" s="60"/>
      <c r="AA77" s="60"/>
      <c r="AB77" s="60"/>
      <c r="AC77" s="60"/>
    </row>
    <row r="78" spans="1:29" x14ac:dyDescent="0.2">
      <c r="A78" s="64"/>
      <c r="B78" s="60"/>
      <c r="C78" s="60"/>
      <c r="D78" s="60"/>
      <c r="E78" s="60"/>
      <c r="F78" s="61"/>
      <c r="G78" s="61"/>
      <c r="H78" s="61"/>
      <c r="I78" s="61"/>
      <c r="J78" s="61"/>
      <c r="K78" s="65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0"/>
      <c r="W78" s="60"/>
      <c r="X78" s="60"/>
      <c r="Y78" s="60"/>
      <c r="Z78" s="60"/>
      <c r="AA78" s="60"/>
      <c r="AB78" s="60"/>
      <c r="AC78" s="60"/>
    </row>
    <row r="79" spans="1:29" x14ac:dyDescent="0.2">
      <c r="A79" s="64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29" x14ac:dyDescent="0.2">
      <c r="A80" s="64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">
      <c r="A81" s="64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">
      <c r="A82" s="64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">
      <c r="A83" s="6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">
      <c r="A84" s="6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">
      <c r="A85" s="6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">
      <c r="A86" s="64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">
      <c r="A87" s="6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">
      <c r="A88" s="64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">
      <c r="A89" s="64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</sheetData>
  <mergeCells count="6">
    <mergeCell ref="P2:U2"/>
    <mergeCell ref="A1:N1"/>
    <mergeCell ref="N2:O2"/>
    <mergeCell ref="A2:D2"/>
    <mergeCell ref="K2:M2"/>
    <mergeCell ref="E2:J2"/>
  </mergeCells>
  <pageMargins left="0.7" right="0.7" top="0.75" bottom="0.75" header="0.3" footer="0.3"/>
  <pageSetup scale="35" fitToHeight="0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zoomScaleNormal="100" zoomScaleSheetLayoutView="90" workbookViewId="0">
      <selection activeCell="A23" sqref="A23"/>
    </sheetView>
  </sheetViews>
  <sheetFormatPr defaultRowHeight="12.75" x14ac:dyDescent="0.2"/>
  <cols>
    <col min="1" max="1" width="36.5703125" style="54" bestFit="1" customWidth="1"/>
    <col min="2" max="2" width="19.7109375" style="54" bestFit="1" customWidth="1"/>
    <col min="3" max="3" width="17.5703125" style="54" bestFit="1" customWidth="1"/>
    <col min="4" max="4" width="4.85546875" style="54" customWidth="1"/>
    <col min="5" max="5" width="20.28515625" style="54" bestFit="1" customWidth="1"/>
    <col min="6" max="6" width="10.28515625" style="54" customWidth="1"/>
    <col min="7" max="7" width="9.140625" style="54" customWidth="1"/>
    <col min="8" max="8" width="9.28515625" style="54" bestFit="1" customWidth="1"/>
    <col min="9" max="16384" width="9.140625" style="54"/>
  </cols>
  <sheetData>
    <row r="1" spans="1:9" x14ac:dyDescent="0.2">
      <c r="A1" s="210" t="s">
        <v>110</v>
      </c>
      <c r="B1" s="210"/>
      <c r="C1" s="210"/>
      <c r="D1" s="61"/>
      <c r="E1" s="210" t="s">
        <v>58</v>
      </c>
      <c r="F1" s="210"/>
      <c r="G1" s="210"/>
      <c r="H1" s="210"/>
      <c r="I1" s="61"/>
    </row>
    <row r="2" spans="1:9" ht="13.5" thickBot="1" x14ac:dyDescent="0.25">
      <c r="A2" s="146" t="s">
        <v>59</v>
      </c>
      <c r="B2" s="146" t="s">
        <v>8</v>
      </c>
      <c r="C2" s="146" t="s">
        <v>43</v>
      </c>
      <c r="D2" s="61"/>
      <c r="E2" s="147" t="s">
        <v>60</v>
      </c>
      <c r="F2" s="147" t="s">
        <v>61</v>
      </c>
      <c r="G2" s="147" t="s">
        <v>62</v>
      </c>
      <c r="H2" s="146" t="s">
        <v>63</v>
      </c>
      <c r="I2" s="61"/>
    </row>
    <row r="3" spans="1:9" ht="13.5" thickTop="1" x14ac:dyDescent="0.2">
      <c r="A3" s="148" t="s">
        <v>64</v>
      </c>
      <c r="B3" s="157">
        <f>10661.75+3000+4753.35</f>
        <v>18415.099999999999</v>
      </c>
      <c r="C3" s="149">
        <f>0+0</f>
        <v>0</v>
      </c>
      <c r="D3" s="61"/>
      <c r="E3" s="150" t="s">
        <v>65</v>
      </c>
      <c r="F3" s="151">
        <v>950</v>
      </c>
      <c r="G3" s="151">
        <v>18</v>
      </c>
      <c r="H3" s="152">
        <f>F3*G3</f>
        <v>17100</v>
      </c>
      <c r="I3" s="61"/>
    </row>
    <row r="4" spans="1:9" x14ac:dyDescent="0.2">
      <c r="A4" s="148" t="s">
        <v>66</v>
      </c>
      <c r="B4" s="153">
        <f>(0.462*0.33+0.468*0.67)</f>
        <v>0.4660200000000001</v>
      </c>
      <c r="C4" s="153">
        <f>B4</f>
        <v>0.4660200000000001</v>
      </c>
      <c r="D4" s="61"/>
      <c r="E4" s="154" t="s">
        <v>67</v>
      </c>
      <c r="F4" s="152">
        <v>400</v>
      </c>
      <c r="G4" s="152">
        <v>15</v>
      </c>
      <c r="H4" s="152">
        <f t="shared" ref="H4:H7" si="0">F4*G4</f>
        <v>6000</v>
      </c>
      <c r="I4" s="61"/>
    </row>
    <row r="5" spans="1:9" x14ac:dyDescent="0.2">
      <c r="A5" s="148" t="s">
        <v>68</v>
      </c>
      <c r="B5" s="152">
        <f>1012+253+1012</f>
        <v>2277</v>
      </c>
      <c r="C5" s="152">
        <v>0</v>
      </c>
      <c r="D5" s="61"/>
      <c r="E5" s="154" t="s">
        <v>69</v>
      </c>
      <c r="F5" s="152">
        <v>300</v>
      </c>
      <c r="G5" s="152">
        <v>13</v>
      </c>
      <c r="H5" s="152">
        <f t="shared" si="0"/>
        <v>3900</v>
      </c>
      <c r="I5" s="61"/>
    </row>
    <row r="6" spans="1:9" x14ac:dyDescent="0.2">
      <c r="A6" s="148" t="s">
        <v>70</v>
      </c>
      <c r="B6" s="155">
        <f>F9</f>
        <v>17.303872889771601</v>
      </c>
      <c r="C6" s="155">
        <f>F22</f>
        <v>16.413793103448278</v>
      </c>
      <c r="D6" s="61"/>
      <c r="E6" s="154" t="s">
        <v>71</v>
      </c>
      <c r="F6" s="152">
        <v>250</v>
      </c>
      <c r="G6" s="152">
        <v>20</v>
      </c>
      <c r="H6" s="152">
        <f t="shared" si="0"/>
        <v>5000</v>
      </c>
      <c r="I6" s="61"/>
    </row>
    <row r="7" spans="1:9" ht="13.5" thickBot="1" x14ac:dyDescent="0.25">
      <c r="A7" s="148" t="s">
        <v>72</v>
      </c>
      <c r="B7" s="149">
        <f>(B5*B4)*B6</f>
        <v>18361.616071996032</v>
      </c>
      <c r="C7" s="149">
        <f>(C5*C4)*C6</f>
        <v>0</v>
      </c>
      <c r="D7" s="61"/>
      <c r="E7" s="154" t="s">
        <v>73</v>
      </c>
      <c r="F7" s="156">
        <v>114</v>
      </c>
      <c r="G7" s="156">
        <v>25</v>
      </c>
      <c r="H7" s="156">
        <f t="shared" si="0"/>
        <v>2850</v>
      </c>
      <c r="I7" s="61"/>
    </row>
    <row r="8" spans="1:9" ht="13.5" thickTop="1" x14ac:dyDescent="0.2">
      <c r="A8" s="148" t="s">
        <v>74</v>
      </c>
      <c r="B8" s="149">
        <f>ROUND(NPV(B10,B7),0)</f>
        <v>17044</v>
      </c>
      <c r="C8" s="157">
        <f>ROUND(NPV(C10,C7),0)</f>
        <v>0</v>
      </c>
      <c r="D8" s="61"/>
      <c r="E8" s="154" t="s">
        <v>75</v>
      </c>
      <c r="F8" s="152">
        <f>SUM(F3:F7)</f>
        <v>2014</v>
      </c>
      <c r="G8" s="152"/>
      <c r="H8" s="152">
        <f>SUM(H3:H7)</f>
        <v>34850</v>
      </c>
      <c r="I8" s="61"/>
    </row>
    <row r="9" spans="1:9" x14ac:dyDescent="0.2">
      <c r="A9" s="148" t="s">
        <v>76</v>
      </c>
      <c r="B9" s="157">
        <f>B8-B3</f>
        <v>-1371.0999999999985</v>
      </c>
      <c r="C9" s="157">
        <f>C8-C3</f>
        <v>0</v>
      </c>
      <c r="D9" s="61"/>
      <c r="E9" s="158" t="s">
        <v>77</v>
      </c>
      <c r="F9" s="159">
        <f>H8/F8</f>
        <v>17.303872889771601</v>
      </c>
      <c r="G9" s="160"/>
      <c r="H9" s="160"/>
      <c r="I9" s="61"/>
    </row>
    <row r="10" spans="1:9" x14ac:dyDescent="0.2">
      <c r="A10" s="148" t="s">
        <v>78</v>
      </c>
      <c r="B10" s="161">
        <v>7.7299999999999994E-2</v>
      </c>
      <c r="C10" s="161">
        <f>B10</f>
        <v>7.7299999999999994E-2</v>
      </c>
      <c r="D10" s="61"/>
      <c r="E10" s="61"/>
      <c r="F10" s="61"/>
      <c r="G10" s="61"/>
      <c r="H10" s="61"/>
      <c r="I10" s="61"/>
    </row>
    <row r="11" spans="1:9" x14ac:dyDescent="0.2">
      <c r="A11" s="148" t="s">
        <v>79</v>
      </c>
      <c r="B11" s="162">
        <v>0.15</v>
      </c>
      <c r="C11" s="162">
        <v>0.15</v>
      </c>
      <c r="D11" s="61"/>
      <c r="E11" s="210" t="s">
        <v>80</v>
      </c>
      <c r="F11" s="210"/>
      <c r="G11" s="210"/>
      <c r="H11" s="210"/>
      <c r="I11" s="61"/>
    </row>
    <row r="12" spans="1:9" ht="13.5" thickBot="1" x14ac:dyDescent="0.25">
      <c r="A12" s="163" t="s">
        <v>81</v>
      </c>
      <c r="B12" s="164">
        <f>B9*B11</f>
        <v>-205.66499999999976</v>
      </c>
      <c r="C12" s="164">
        <f>C9*C11</f>
        <v>0</v>
      </c>
      <c r="D12" s="61"/>
      <c r="E12" s="147" t="s">
        <v>60</v>
      </c>
      <c r="F12" s="147" t="s">
        <v>61</v>
      </c>
      <c r="G12" s="147" t="s">
        <v>62</v>
      </c>
      <c r="H12" s="146" t="s">
        <v>63</v>
      </c>
      <c r="I12" s="61"/>
    </row>
    <row r="13" spans="1:9" ht="14.25" thickTop="1" thickBot="1" x14ac:dyDescent="0.25">
      <c r="A13" s="165" t="s">
        <v>82</v>
      </c>
      <c r="B13" s="164">
        <v>1185845.1599999999</v>
      </c>
      <c r="C13" s="166">
        <v>73218.268499999991</v>
      </c>
      <c r="D13" s="61"/>
      <c r="E13" s="150" t="s">
        <v>65</v>
      </c>
      <c r="F13" s="151">
        <v>100</v>
      </c>
      <c r="G13" s="151">
        <v>18</v>
      </c>
      <c r="H13" s="152">
        <f>F13*G13</f>
        <v>1800</v>
      </c>
      <c r="I13" s="61"/>
    </row>
    <row r="14" spans="1:9" ht="13.15" customHeight="1" thickTop="1" x14ac:dyDescent="0.2">
      <c r="A14" s="167" t="s">
        <v>83</v>
      </c>
      <c r="B14" s="168">
        <f>((1012+250)*0.13855)+(1012*0.15483)</f>
        <v>331.53805999999997</v>
      </c>
      <c r="C14" s="168">
        <f>((0+0+0+0+0+0+0+0+0+0+0+0)*0.13855)</f>
        <v>0</v>
      </c>
      <c r="D14" s="61"/>
      <c r="E14" s="154" t="s">
        <v>67</v>
      </c>
      <c r="F14" s="152">
        <v>10</v>
      </c>
      <c r="G14" s="152">
        <v>15</v>
      </c>
      <c r="H14" s="152">
        <f t="shared" ref="H14:H20" si="1">F14*G14</f>
        <v>150</v>
      </c>
      <c r="I14" s="61"/>
    </row>
    <row r="15" spans="1:9" ht="12.4" customHeight="1" x14ac:dyDescent="0.2">
      <c r="A15" s="61"/>
      <c r="B15" s="61"/>
      <c r="C15" s="61"/>
      <c r="D15" s="61"/>
      <c r="E15" s="154" t="s">
        <v>69</v>
      </c>
      <c r="F15" s="152">
        <v>10</v>
      </c>
      <c r="G15" s="152">
        <v>13</v>
      </c>
      <c r="H15" s="152">
        <f t="shared" si="1"/>
        <v>130</v>
      </c>
      <c r="I15" s="61"/>
    </row>
    <row r="16" spans="1:9" ht="12.4" customHeight="1" x14ac:dyDescent="0.2">
      <c r="A16" s="61"/>
      <c r="B16" s="61"/>
      <c r="C16" s="61"/>
      <c r="D16" s="61"/>
      <c r="E16" s="154" t="s">
        <v>71</v>
      </c>
      <c r="F16" s="152">
        <v>5</v>
      </c>
      <c r="G16" s="152">
        <v>20</v>
      </c>
      <c r="H16" s="152">
        <f t="shared" si="1"/>
        <v>100</v>
      </c>
      <c r="I16" s="61"/>
    </row>
    <row r="17" spans="1:9" ht="12.4" customHeight="1" x14ac:dyDescent="0.2">
      <c r="A17" s="61"/>
      <c r="B17" s="61"/>
      <c r="C17" s="61"/>
      <c r="D17" s="61"/>
      <c r="E17" s="154" t="s">
        <v>84</v>
      </c>
      <c r="F17" s="152">
        <v>5</v>
      </c>
      <c r="G17" s="152">
        <v>8</v>
      </c>
      <c r="H17" s="152">
        <f t="shared" si="1"/>
        <v>40</v>
      </c>
      <c r="I17" s="61"/>
    </row>
    <row r="18" spans="1:9" x14ac:dyDescent="0.2">
      <c r="A18" s="169"/>
      <c r="B18" s="61"/>
      <c r="C18" s="61"/>
      <c r="D18" s="61"/>
      <c r="E18" s="154" t="s">
        <v>85</v>
      </c>
      <c r="F18" s="152">
        <v>5</v>
      </c>
      <c r="G18" s="152">
        <v>12</v>
      </c>
      <c r="H18" s="152">
        <f t="shared" si="1"/>
        <v>60</v>
      </c>
      <c r="I18" s="61"/>
    </row>
    <row r="19" spans="1:9" x14ac:dyDescent="0.2">
      <c r="A19" s="209" t="s">
        <v>113</v>
      </c>
      <c r="B19" s="209"/>
      <c r="C19" s="209"/>
      <c r="D19" s="61"/>
      <c r="E19" s="154" t="s">
        <v>86</v>
      </c>
      <c r="F19" s="152">
        <v>5</v>
      </c>
      <c r="G19" s="152">
        <v>10</v>
      </c>
      <c r="H19" s="152">
        <f t="shared" si="1"/>
        <v>50</v>
      </c>
      <c r="I19" s="61"/>
    </row>
    <row r="20" spans="1:9" ht="13.5" thickBot="1" x14ac:dyDescent="0.25">
      <c r="A20" s="209" t="s">
        <v>114</v>
      </c>
      <c r="B20" s="209"/>
      <c r="C20" s="209"/>
      <c r="D20" s="61"/>
      <c r="E20" s="154" t="s">
        <v>87</v>
      </c>
      <c r="F20" s="156">
        <v>5</v>
      </c>
      <c r="G20" s="156">
        <v>10</v>
      </c>
      <c r="H20" s="156">
        <f t="shared" si="1"/>
        <v>50</v>
      </c>
      <c r="I20" s="61"/>
    </row>
    <row r="21" spans="1:9" ht="13.5" thickTop="1" x14ac:dyDescent="0.2">
      <c r="A21" s="209" t="s">
        <v>115</v>
      </c>
      <c r="B21" s="209"/>
      <c r="C21" s="209"/>
      <c r="D21" s="61"/>
      <c r="E21" s="154" t="s">
        <v>75</v>
      </c>
      <c r="F21" s="152">
        <f>SUM(F13:F20)</f>
        <v>145</v>
      </c>
      <c r="G21" s="152"/>
      <c r="H21" s="152">
        <f>SUM(H13:H20)</f>
        <v>2380</v>
      </c>
      <c r="I21" s="61"/>
    </row>
    <row r="22" spans="1:9" x14ac:dyDescent="0.2">
      <c r="A22" s="209" t="s">
        <v>116</v>
      </c>
      <c r="B22" s="209"/>
      <c r="C22" s="209"/>
      <c r="D22" s="61"/>
      <c r="E22" s="158" t="s">
        <v>77</v>
      </c>
      <c r="F22" s="159">
        <f>H21/F21</f>
        <v>16.413793103448278</v>
      </c>
      <c r="G22" s="160"/>
      <c r="H22" s="160"/>
      <c r="I22" s="61"/>
    </row>
    <row r="23" spans="1:9" x14ac:dyDescent="0.2">
      <c r="A23" s="61"/>
      <c r="B23" s="61"/>
      <c r="C23" s="61"/>
      <c r="D23" s="61"/>
      <c r="E23" s="61"/>
      <c r="F23" s="61"/>
      <c r="G23" s="61"/>
      <c r="H23" s="61"/>
    </row>
    <row r="24" spans="1:9" x14ac:dyDescent="0.2">
      <c r="A24" s="61"/>
      <c r="B24" s="61"/>
      <c r="C24" s="61"/>
      <c r="D24" s="61"/>
      <c r="E24" s="61"/>
      <c r="F24" s="61"/>
      <c r="G24" s="61"/>
      <c r="H24" s="61"/>
    </row>
  </sheetData>
  <mergeCells count="7">
    <mergeCell ref="A22:C22"/>
    <mergeCell ref="A1:C1"/>
    <mergeCell ref="E1:H1"/>
    <mergeCell ref="E11:H11"/>
    <mergeCell ref="A19:C19"/>
    <mergeCell ref="A20:C20"/>
    <mergeCell ref="A21:C21"/>
  </mergeCells>
  <pageMargins left="0.7" right="0.7" top="0.75" bottom="0.75" header="0.3" footer="0.3"/>
  <pageSetup scale="97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2.7.601.90251</Revision>
</Application>
</file>

<file path=customXml/itemProps1.xml><?xml version="1.0" encoding="utf-8"?>
<ds:datastoreItem xmlns:ds="http://schemas.openxmlformats.org/officeDocument/2006/customXml" ds:itemID="{0B89AF26-B68A-4A53-BE55-D5F84A5EFA9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DLSA</vt:lpstr>
      <vt:lpstr>2022</vt:lpstr>
      <vt:lpstr>DSMRC Costs</vt:lpstr>
      <vt:lpstr>DIA + DLSA Revenue</vt:lpstr>
      <vt:lpstr>'2022'!Print_Area</vt:lpstr>
      <vt:lpstr>DLSA!Print_Area</vt:lpstr>
      <vt:lpstr>'DSMRC Costs'!Print_Area</vt:lpstr>
      <vt:lpstr>'2022'!Print_Titles</vt:lpstr>
    </vt:vector>
  </TitlesOfParts>
  <Company>United Cities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Martin</dc:creator>
  <cp:lastModifiedBy>Christina N Vo</cp:lastModifiedBy>
  <cp:lastPrinted>2019-10-28T14:02:16Z</cp:lastPrinted>
  <dcterms:created xsi:type="dcterms:W3CDTF">2000-11-07T20:26:45Z</dcterms:created>
  <dcterms:modified xsi:type="dcterms:W3CDTF">2022-10-26T19:35:56Z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