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ory\DSM-EECPRC\2021 Filing\"/>
    </mc:Choice>
  </mc:AlternateContent>
  <bookViews>
    <workbookView xWindow="11760" yWindow="-192" windowWidth="9480" windowHeight="10872" tabRatio="606"/>
  </bookViews>
  <sheets>
    <sheet name="2021 Summary Schedule" sheetId="2" r:id="rId1"/>
    <sheet name="Schedule A" sheetId="4" r:id="rId2"/>
    <sheet name="Schedule B" sheetId="5" r:id="rId3"/>
    <sheet name="Schedule C" sheetId="6" r:id="rId4"/>
    <sheet name="Schedule D" sheetId="7" r:id="rId5"/>
  </sheets>
  <externalReferences>
    <externalReference r:id="rId6"/>
    <externalReference r:id="rId7"/>
  </externalReferences>
  <definedNames>
    <definedName name="_0596">#REF!</definedName>
    <definedName name="_1997">#REF!</definedName>
    <definedName name="CALC">#REF!</definedName>
    <definedName name="_xlnm.Print_Area" localSheetId="0">'2021 Summary Schedule'!$A$1:$H$72</definedName>
    <definedName name="_xlnm.Print_Area" localSheetId="2">'Schedule B'!$A$1:$P$34</definedName>
    <definedName name="_xlnm.Print_Area" localSheetId="4">'Schedule D'!$A$1:$K$13</definedName>
    <definedName name="_xlnm.Print_Area">#REF!</definedName>
    <definedName name="PRINT_AREA_MI">#REF!</definedName>
    <definedName name="_xlnm.Print_Titles" localSheetId="2">'Schedule B'!$A:$D,'Schedule B'!$1:$7</definedName>
    <definedName name="RATES">#REF!</definedName>
  </definedNames>
  <calcPr calcId="152511"/>
</workbook>
</file>

<file path=xl/calcChain.xml><?xml version="1.0" encoding="utf-8"?>
<calcChain xmlns="http://schemas.openxmlformats.org/spreadsheetml/2006/main">
  <c r="F13" i="2" l="1"/>
  <c r="F58" i="2" l="1"/>
  <c r="F56" i="2"/>
  <c r="O31" i="5" l="1"/>
  <c r="A71" i="2" l="1"/>
  <c r="P30" i="5" l="1"/>
  <c r="P27" i="5"/>
  <c r="P24" i="5"/>
  <c r="P17" i="5"/>
  <c r="P14" i="5"/>
  <c r="P11" i="5"/>
  <c r="O34" i="5"/>
  <c r="P34" i="5" s="1"/>
  <c r="O18" i="5"/>
  <c r="N18" i="5" l="1"/>
  <c r="N31" i="5"/>
  <c r="N34" i="5" s="1"/>
  <c r="M31" i="5" l="1"/>
  <c r="M34" i="5" l="1"/>
  <c r="M18" i="5"/>
  <c r="L31" i="5" l="1"/>
  <c r="L34" i="5"/>
  <c r="L18" i="5" l="1"/>
  <c r="K31" i="5" l="1"/>
  <c r="K34" i="5" s="1"/>
  <c r="F20" i="4"/>
  <c r="K18" i="5"/>
  <c r="B9" i="7" l="1"/>
  <c r="E15" i="6" s="1"/>
  <c r="J18" i="5"/>
  <c r="J31" i="5" l="1"/>
  <c r="J34" i="5" s="1"/>
  <c r="I31" i="5" l="1"/>
  <c r="I34" i="5" s="1"/>
  <c r="I18" i="5"/>
  <c r="E18" i="5" l="1"/>
  <c r="F18" i="5"/>
  <c r="G18" i="5"/>
  <c r="H18" i="5"/>
  <c r="H30" i="5" l="1"/>
  <c r="H27" i="5"/>
  <c r="H24" i="5"/>
  <c r="G31" i="2" l="1"/>
  <c r="E31" i="5"/>
  <c r="E34" i="5" s="1"/>
  <c r="F31" i="5"/>
  <c r="F34" i="5" s="1"/>
  <c r="G31" i="5"/>
  <c r="G34" i="5" s="1"/>
  <c r="H31" i="5"/>
  <c r="H34" i="5" s="1"/>
  <c r="P18" i="5"/>
  <c r="F33" i="2" l="1"/>
  <c r="F32" i="2"/>
  <c r="F31" i="2"/>
  <c r="E33" i="2"/>
  <c r="E32" i="2"/>
  <c r="E31" i="2"/>
  <c r="A2" i="7" l="1"/>
  <c r="A1" i="7"/>
  <c r="C9" i="7" l="1"/>
  <c r="E16" i="6" s="1"/>
  <c r="D9" i="7"/>
  <c r="E17" i="6" s="1"/>
  <c r="E9" i="7"/>
  <c r="E18" i="6" s="1"/>
  <c r="F9" i="7"/>
  <c r="E19" i="6" s="1"/>
  <c r="G9" i="7"/>
  <c r="E20" i="6" s="1"/>
  <c r="H9" i="7"/>
  <c r="E21" i="6" s="1"/>
  <c r="I9" i="7"/>
  <c r="E22" i="6" s="1"/>
  <c r="J9" i="7"/>
  <c r="E23" i="6" s="1"/>
  <c r="K9" i="7"/>
  <c r="E24" i="6" s="1"/>
  <c r="B17" i="5" l="1"/>
  <c r="B14" i="5"/>
  <c r="B13" i="5"/>
  <c r="B11" i="5"/>
  <c r="B10" i="5"/>
  <c r="C32" i="2"/>
  <c r="C31" i="2"/>
  <c r="G26" i="2"/>
  <c r="E26" i="2"/>
  <c r="F12" i="4"/>
  <c r="F25" i="2" s="1"/>
  <c r="F16" i="4"/>
  <c r="F26" i="2" s="1"/>
  <c r="G32" i="2" l="1"/>
  <c r="H31" i="2"/>
  <c r="H26" i="2"/>
  <c r="P31" i="5"/>
  <c r="B24" i="4"/>
  <c r="H25" i="2"/>
  <c r="E25" i="2"/>
  <c r="A2" i="6"/>
  <c r="A1" i="6"/>
  <c r="A2" i="5"/>
  <c r="A1" i="5"/>
  <c r="A2" i="4"/>
  <c r="A1" i="4"/>
  <c r="F27" i="2"/>
  <c r="G15" i="2"/>
  <c r="G17" i="2" s="1"/>
  <c r="F44" i="2" s="1"/>
  <c r="D21" i="4"/>
  <c r="D6" i="6"/>
  <c r="C6" i="4"/>
  <c r="G27" i="2"/>
  <c r="C27" i="2"/>
  <c r="C33" i="2" s="1"/>
  <c r="E27" i="2"/>
  <c r="G33" i="2" l="1"/>
  <c r="H33" i="2" s="1"/>
  <c r="H32" i="2"/>
  <c r="E28" i="2"/>
  <c r="F34" i="2"/>
  <c r="F21" i="4"/>
  <c r="E34" i="2"/>
  <c r="H27" i="2"/>
  <c r="H28" i="2" s="1"/>
  <c r="F28" i="2"/>
  <c r="D15" i="6" s="1"/>
  <c r="H34" i="2" l="1"/>
  <c r="H36" i="2" s="1"/>
  <c r="E36" i="2"/>
  <c r="E10" i="6"/>
  <c r="F36" i="2"/>
  <c r="D16" i="6" l="1"/>
  <c r="F15" i="6"/>
  <c r="D17" i="6" l="1"/>
  <c r="F16" i="6"/>
  <c r="D18" i="6" l="1"/>
  <c r="F17" i="6"/>
  <c r="D19" i="6" l="1"/>
  <c r="F18" i="6"/>
  <c r="D20" i="6" l="1"/>
  <c r="F19" i="6"/>
  <c r="D21" i="6" l="1"/>
  <c r="F20" i="6"/>
  <c r="D22" i="6" l="1"/>
  <c r="F21" i="6"/>
  <c r="D23" i="6" l="1"/>
  <c r="F22" i="6"/>
  <c r="F23" i="6" l="1"/>
  <c r="D24" i="6"/>
  <c r="F24" i="6" l="1"/>
  <c r="F25" i="6" s="1"/>
  <c r="D25" i="6"/>
  <c r="F60" i="2"/>
  <c r="F62" i="2" s="1"/>
  <c r="F29" i="6" l="1"/>
  <c r="F41" i="2" s="1"/>
  <c r="F46" i="2" s="1"/>
  <c r="F50" i="2" s="1"/>
  <c r="F64" i="2"/>
  <c r="F68" i="2" s="1"/>
</calcChain>
</file>

<file path=xl/sharedStrings.xml><?xml version="1.0" encoding="utf-8"?>
<sst xmlns="http://schemas.openxmlformats.org/spreadsheetml/2006/main" count="109" uniqueCount="85">
  <si>
    <t>Program Participants</t>
  </si>
  <si>
    <t>Total</t>
  </si>
  <si>
    <t>Incentive Percentage</t>
  </si>
  <si>
    <t>Total Program Costs</t>
  </si>
  <si>
    <t>Net Resource Savings</t>
  </si>
  <si>
    <t>Program Year End:</t>
  </si>
  <si>
    <t>Schedule A - Current Year Participation Detail</t>
  </si>
  <si>
    <t>Program</t>
  </si>
  <si>
    <t>Participants</t>
  </si>
  <si>
    <t>C. Energy Audits</t>
  </si>
  <si>
    <t>Per Participant</t>
  </si>
  <si>
    <t>Total Current Year Lost Sales</t>
  </si>
  <si>
    <t>Year</t>
  </si>
  <si>
    <t>Total Commodity Savings</t>
  </si>
  <si>
    <t>Discount Rate</t>
  </si>
  <si>
    <t>Program Benefits</t>
  </si>
  <si>
    <t>(present value of commodity savings)</t>
  </si>
  <si>
    <t>(Schedule C)</t>
  </si>
  <si>
    <t xml:space="preserve"> </t>
  </si>
  <si>
    <t>Schedule C - Calculation of Program Benefits</t>
  </si>
  <si>
    <t>Schedule B - Cumulative Prior Years Program Participation</t>
  </si>
  <si>
    <t>(1)</t>
  </si>
  <si>
    <t>Commodity
Savings</t>
  </si>
  <si>
    <t>Cumulative
Total</t>
  </si>
  <si>
    <t>(2)</t>
  </si>
  <si>
    <t>Total Prior Year(s) Lost Sales</t>
  </si>
  <si>
    <t>Distribution
Charge</t>
  </si>
  <si>
    <t>Lost
Sales</t>
  </si>
  <si>
    <t># of
Participants</t>
  </si>
  <si>
    <t xml:space="preserve">
Gas Cost</t>
  </si>
  <si>
    <t>Energy Audit Program</t>
  </si>
  <si>
    <t>High-Efficiency Appliance Rebate Program</t>
  </si>
  <si>
    <t>CKY Program Administration</t>
  </si>
  <si>
    <t>EECPBA</t>
  </si>
  <si>
    <t>EECPI - Energy Efficiency/Conservation Program Incentive</t>
  </si>
  <si>
    <t>EECPI</t>
  </si>
  <si>
    <t>EECPLS - Energy Efficiency/Conservation Program Lost Sales</t>
  </si>
  <si>
    <t>TOTAL EECPLS</t>
  </si>
  <si>
    <t>EECPCR - Energy Efficiency/Conservation Program Cost Recovery</t>
  </si>
  <si>
    <t>Columbia Gas of Kentucky, Inc.</t>
  </si>
  <si>
    <t>Energy Efficiency/Conservation Program</t>
  </si>
  <si>
    <t>TOTAL EECPCR</t>
  </si>
  <si>
    <t xml:space="preserve">Current Year Program Participation </t>
  </si>
  <si>
    <t>Current Year Conservation (Mcf)</t>
  </si>
  <si>
    <t>Mcf
Conserved</t>
  </si>
  <si>
    <t>Total Conservation Mcf</t>
  </si>
  <si>
    <t>Schedule A</t>
  </si>
  <si>
    <t>Schedule B</t>
  </si>
  <si>
    <t>Schedule C</t>
  </si>
  <si>
    <t>EECPBA - Energy Efficiency/Conservation Program Balancing Adjustment</t>
  </si>
  <si>
    <t>Under (Over) Recovery</t>
  </si>
  <si>
    <t>Year End Program Results</t>
  </si>
  <si>
    <t>Actual Program Costs</t>
  </si>
  <si>
    <t>Actual Program Benefits</t>
  </si>
  <si>
    <t>Less: Actual Program Costs</t>
  </si>
  <si>
    <t>Residential Energy Audits</t>
  </si>
  <si>
    <t>Interest (1)</t>
  </si>
  <si>
    <t>Total Including Interest</t>
  </si>
  <si>
    <t xml:space="preserve">Estimated Bills </t>
  </si>
  <si>
    <t>EECPBA Rate</t>
  </si>
  <si>
    <t>Mcf Conservation (1)</t>
  </si>
  <si>
    <t xml:space="preserve">Furnace Replacement Program </t>
  </si>
  <si>
    <t>Total - A. B. C.</t>
  </si>
  <si>
    <t>Furnace Replacements</t>
  </si>
  <si>
    <t>B. High-Efficiency Appliance Rebates</t>
  </si>
  <si>
    <t>Residential Rebates</t>
  </si>
  <si>
    <t>A. Low-Income Furnace Replacement Program</t>
  </si>
  <si>
    <t>Appliance Rebates</t>
  </si>
  <si>
    <t>Schedule D - Commodity Rates</t>
  </si>
  <si>
    <t>Schedule D</t>
  </si>
  <si>
    <t>$/Mcf</t>
  </si>
  <si>
    <t>(2) Per Schedule D</t>
  </si>
  <si>
    <t>(1) Per Schedule A</t>
  </si>
  <si>
    <t>Program Years:</t>
  </si>
  <si>
    <t>Total Lost Sales (Mcf)</t>
  </si>
  <si>
    <t>Commodity Purchase Rate (1)</t>
  </si>
  <si>
    <t>Demand Purchase Rate (2)</t>
  </si>
  <si>
    <t xml:space="preserve">Prior Year Participation </t>
  </si>
  <si>
    <t>Filing Date: December 29, 2021</t>
  </si>
  <si>
    <r>
      <t xml:space="preserve">(1) U. S. Energy Information Administration - </t>
    </r>
    <r>
      <rPr>
        <i/>
        <sz val="11"/>
        <rFont val="Calibri"/>
        <family val="2"/>
        <scheme val="minor"/>
      </rPr>
      <t>Annual Energy Outlook 2021,</t>
    </r>
    <r>
      <rPr>
        <sz val="11"/>
        <rFont val="Calibri"/>
        <family val="2"/>
        <scheme val="minor"/>
      </rPr>
      <t xml:space="preserve"> Henry Hub Spot Price</t>
    </r>
  </si>
  <si>
    <t>(2) Per Case No. 2021-00403</t>
  </si>
  <si>
    <t>Actual Recovery EECPRC 11/1/09 through 10/31/2021</t>
  </si>
  <si>
    <t>Actual Program Costs EECPRC 11/1/09 through 10/31/2021</t>
  </si>
  <si>
    <t>November 1, 2009 through October 31, 2020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</si>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</sst>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_(* #,##0.0000_);_(* \(#,##0.0000\);_(* &quot;-&quot;??_);_(@_)"/>
    <numFmt numFmtId="169" formatCode="_(&quot;$&quot;* #,##0.0000_);_(&quot;$&quot;* \(#,##0.0000\);_(&quot;$&quot;* &quot;-&quot;??_);_(@_)"/>
    <numFmt numFmtId="170" formatCode="[$-409]mmmm\ d\,\ yyyy;@"/>
    <numFmt numFmtId="171" formatCode="#,##0.0_);\(#,##0.0\)"/>
    <numFmt numFmtId="172" formatCode="_(* #,##0.0000_);_(* \(#,##0.0000\);_(* &quot;-&quot;????_);_(@_)"/>
    <numFmt numFmtId="173" formatCode="_(&quot;$&quot;* #,##0.0000000_);_(&quot;$&quot;* \(#,##0.00000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 applyFill="1"/>
    <xf numFmtId="0" fontId="7" fillId="0" borderId="1" xfId="0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 wrapText="1"/>
    </xf>
    <xf numFmtId="166" fontId="7" fillId="0" borderId="1" xfId="2" applyNumberFormat="1" applyFont="1" applyFill="1" applyBorder="1" applyAlignment="1">
      <alignment horizontal="center" wrapText="1"/>
    </xf>
    <xf numFmtId="165" fontId="6" fillId="0" borderId="0" xfId="1" applyNumberFormat="1" applyFont="1" applyFill="1"/>
    <xf numFmtId="164" fontId="6" fillId="0" borderId="0" xfId="1" applyNumberFormat="1" applyFont="1" applyFill="1"/>
    <xf numFmtId="166" fontId="6" fillId="0" borderId="0" xfId="2" quotePrefix="1" applyNumberFormat="1" applyFont="1" applyFill="1" applyAlignment="1">
      <alignment horizontal="center"/>
    </xf>
    <xf numFmtId="169" fontId="6" fillId="0" borderId="0" xfId="2" applyNumberFormat="1" applyFont="1" applyFill="1" applyAlignment="1">
      <alignment horizontal="center"/>
    </xf>
    <xf numFmtId="165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9" fontId="6" fillId="0" borderId="1" xfId="2" applyNumberFormat="1" applyFont="1" applyFill="1" applyBorder="1" applyAlignment="1">
      <alignment horizontal="center"/>
    </xf>
    <xf numFmtId="166" fontId="6" fillId="0" borderId="1" xfId="2" quotePrefix="1" applyNumberFormat="1" applyFont="1" applyFill="1" applyBorder="1" applyAlignment="1">
      <alignment horizontal="center"/>
    </xf>
    <xf numFmtId="165" fontId="7" fillId="0" borderId="0" xfId="0" applyNumberFormat="1" applyFont="1" applyFill="1"/>
    <xf numFmtId="164" fontId="7" fillId="0" borderId="0" xfId="1" applyNumberFormat="1" applyFont="1" applyFill="1"/>
    <xf numFmtId="43" fontId="7" fillId="0" borderId="0" xfId="0" applyNumberFormat="1" applyFont="1" applyFill="1"/>
    <xf numFmtId="166" fontId="7" fillId="0" borderId="0" xfId="2" applyNumberFormat="1" applyFont="1" applyFill="1"/>
    <xf numFmtId="43" fontId="6" fillId="0" borderId="0" xfId="0" applyNumberFormat="1" applyFont="1" applyFill="1"/>
    <xf numFmtId="165" fontId="6" fillId="0" borderId="0" xfId="0" applyNumberFormat="1" applyFont="1" applyFill="1"/>
    <xf numFmtId="166" fontId="6" fillId="0" borderId="0" xfId="2" applyNumberFormat="1" applyFont="1" applyFill="1"/>
    <xf numFmtId="171" fontId="6" fillId="0" borderId="0" xfId="0" applyNumberFormat="1" applyFont="1" applyFill="1"/>
    <xf numFmtId="165" fontId="6" fillId="0" borderId="1" xfId="0" applyNumberFormat="1" applyFont="1" applyFill="1" applyBorder="1"/>
    <xf numFmtId="171" fontId="6" fillId="0" borderId="1" xfId="0" applyNumberFormat="1" applyFont="1" applyFill="1" applyBorder="1"/>
    <xf numFmtId="165" fontId="7" fillId="0" borderId="0" xfId="0" applyNumberFormat="1" applyFont="1" applyFill="1" applyBorder="1"/>
    <xf numFmtId="171" fontId="7" fillId="0" borderId="0" xfId="0" applyNumberFormat="1" applyFont="1" applyFill="1" applyBorder="1"/>
    <xf numFmtId="169" fontId="6" fillId="0" borderId="0" xfId="2" applyNumberFormat="1" applyFont="1" applyFill="1" applyBorder="1" applyAlignment="1">
      <alignment horizontal="center"/>
    </xf>
    <xf numFmtId="166" fontId="7" fillId="0" borderId="0" xfId="2" applyNumberFormat="1" applyFont="1" applyFill="1" applyBorder="1"/>
    <xf numFmtId="171" fontId="7" fillId="0" borderId="0" xfId="0" applyNumberFormat="1" applyFont="1" applyFill="1"/>
    <xf numFmtId="168" fontId="6" fillId="0" borderId="0" xfId="1" quotePrefix="1" applyNumberFormat="1" applyFont="1" applyFill="1" applyAlignment="1">
      <alignment horizontal="center"/>
    </xf>
    <xf numFmtId="165" fontId="7" fillId="0" borderId="1" xfId="0" applyNumberFormat="1" applyFont="1" applyFill="1" applyBorder="1"/>
    <xf numFmtId="171" fontId="7" fillId="0" borderId="1" xfId="0" applyNumberFormat="1" applyFont="1" applyFill="1" applyBorder="1"/>
    <xf numFmtId="168" fontId="6" fillId="0" borderId="1" xfId="1" quotePrefix="1" applyNumberFormat="1" applyFont="1" applyFill="1" applyBorder="1" applyAlignment="1">
      <alignment horizontal="center"/>
    </xf>
    <xf numFmtId="166" fontId="7" fillId="0" borderId="1" xfId="2" applyNumberFormat="1" applyFont="1" applyFill="1" applyBorder="1"/>
    <xf numFmtId="0" fontId="6" fillId="0" borderId="2" xfId="0" applyFont="1" applyFill="1" applyBorder="1"/>
    <xf numFmtId="165" fontId="6" fillId="0" borderId="2" xfId="1" applyNumberFormat="1" applyFont="1" applyFill="1" applyBorder="1"/>
    <xf numFmtId="166" fontId="6" fillId="0" borderId="0" xfId="2" applyNumberFormat="1" applyFont="1" applyFill="1" applyBorder="1"/>
    <xf numFmtId="0" fontId="6" fillId="0" borderId="0" xfId="0" applyFont="1" applyFill="1" applyBorder="1"/>
    <xf numFmtId="0" fontId="7" fillId="0" borderId="0" xfId="0" applyFont="1" applyFill="1"/>
    <xf numFmtId="44" fontId="6" fillId="0" borderId="0" xfId="2" applyFont="1" applyFill="1"/>
    <xf numFmtId="166" fontId="7" fillId="0" borderId="0" xfId="0" applyNumberFormat="1" applyFont="1" applyFill="1" applyBorder="1"/>
    <xf numFmtId="10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/>
    <xf numFmtId="44" fontId="7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170" fontId="6" fillId="0" borderId="0" xfId="0" applyNumberFormat="1" applyFont="1" applyFill="1" applyAlignment="1">
      <alignment horizontal="left"/>
    </xf>
    <xf numFmtId="170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 indent="2"/>
    </xf>
    <xf numFmtId="171" fontId="6" fillId="0" borderId="0" xfId="1" applyNumberFormat="1" applyFont="1" applyFill="1" applyAlignment="1">
      <alignment horizontal="right"/>
    </xf>
    <xf numFmtId="171" fontId="6" fillId="0" borderId="0" xfId="1" applyNumberFormat="1" applyFont="1" applyFill="1" applyBorder="1" applyAlignment="1">
      <alignment horizontal="right"/>
    </xf>
    <xf numFmtId="171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/>
    <xf numFmtId="165" fontId="6" fillId="0" borderId="0" xfId="1" applyNumberFormat="1" applyFont="1" applyFill="1" applyBorder="1"/>
    <xf numFmtId="164" fontId="6" fillId="0" borderId="0" xfId="0" applyNumberFormat="1" applyFont="1" applyFill="1"/>
    <xf numFmtId="164" fontId="7" fillId="0" borderId="0" xfId="0" applyNumberFormat="1" applyFont="1" applyFill="1"/>
    <xf numFmtId="43" fontId="7" fillId="0" borderId="0" xfId="1" applyFont="1" applyFill="1" applyBorder="1"/>
    <xf numFmtId="0" fontId="6" fillId="0" borderId="0" xfId="0" quotePrefix="1" applyFont="1" applyFill="1"/>
    <xf numFmtId="0" fontId="6" fillId="0" borderId="0" xfId="0" applyFont="1" applyFill="1" applyAlignment="1">
      <alignment horizontal="left" indent="1"/>
    </xf>
    <xf numFmtId="166" fontId="6" fillId="0" borderId="1" xfId="0" applyNumberFormat="1" applyFont="1" applyFill="1" applyBorder="1"/>
    <xf numFmtId="0" fontId="7" fillId="0" borderId="0" xfId="0" applyFont="1" applyFill="1" applyBorder="1"/>
    <xf numFmtId="165" fontId="7" fillId="0" borderId="0" xfId="1" applyNumberFormat="1" applyFont="1" applyFill="1" applyBorder="1"/>
    <xf numFmtId="166" fontId="6" fillId="0" borderId="2" xfId="2" applyNumberFormat="1" applyFont="1" applyFill="1" applyBorder="1"/>
    <xf numFmtId="165" fontId="6" fillId="0" borderId="0" xfId="1" applyNumberFormat="1" applyFont="1" applyFill="1" applyAlignment="1">
      <alignment horizontal="center"/>
    </xf>
    <xf numFmtId="165" fontId="6" fillId="0" borderId="0" xfId="1" quotePrefix="1" applyNumberFormat="1" applyFont="1" applyFill="1" applyAlignment="1">
      <alignment horizontal="center"/>
    </xf>
    <xf numFmtId="166" fontId="7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166" fontId="7" fillId="0" borderId="0" xfId="0" applyNumberFormat="1" applyFont="1" applyFill="1"/>
    <xf numFmtId="166" fontId="6" fillId="0" borderId="1" xfId="2" applyNumberFormat="1" applyFont="1" applyFill="1" applyBorder="1"/>
    <xf numFmtId="173" fontId="6" fillId="0" borderId="0" xfId="0" applyNumberFormat="1" applyFont="1" applyFill="1"/>
    <xf numFmtId="0" fontId="10" fillId="0" borderId="0" xfId="0" applyFont="1" applyFill="1" applyAlignment="1">
      <alignment horizontal="center"/>
    </xf>
    <xf numFmtId="49" fontId="6" fillId="0" borderId="0" xfId="0" applyNumberFormat="1" applyFont="1" applyFill="1"/>
    <xf numFmtId="168" fontId="6" fillId="0" borderId="0" xfId="0" applyNumberFormat="1" applyFont="1" applyFill="1"/>
    <xf numFmtId="172" fontId="6" fillId="0" borderId="0" xfId="0" applyNumberFormat="1" applyFont="1" applyFill="1"/>
    <xf numFmtId="0" fontId="7" fillId="0" borderId="0" xfId="0" quotePrefix="1" applyFont="1" applyFill="1"/>
    <xf numFmtId="164" fontId="7" fillId="0" borderId="0" xfId="1" applyNumberFormat="1" applyFont="1" applyFill="1" applyBorder="1"/>
    <xf numFmtId="0" fontId="7" fillId="0" borderId="0" xfId="0" quotePrefix="1" applyFont="1" applyFill="1" applyAlignment="1">
      <alignment horizontal="center"/>
    </xf>
    <xf numFmtId="8" fontId="6" fillId="0" borderId="0" xfId="0" applyNumberFormat="1" applyFont="1" applyFill="1"/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7" fontId="7" fillId="0" borderId="0" xfId="0" applyNumberFormat="1" applyFont="1" applyFill="1"/>
    <xf numFmtId="6" fontId="7" fillId="0" borderId="0" xfId="0" applyNumberFormat="1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41" fontId="4" fillId="0" borderId="0" xfId="0" applyNumberFormat="1" applyFont="1" applyFill="1"/>
    <xf numFmtId="41" fontId="3" fillId="0" borderId="0" xfId="0" applyNumberFormat="1" applyFont="1" applyFill="1"/>
    <xf numFmtId="0" fontId="4" fillId="0" borderId="0" xfId="0" applyFont="1" applyFill="1" applyAlignment="1">
      <alignment horizontal="left" indent="2"/>
    </xf>
    <xf numFmtId="165" fontId="4" fillId="0" borderId="0" xfId="1" applyNumberFormat="1" applyFont="1" applyFill="1" applyBorder="1"/>
    <xf numFmtId="41" fontId="3" fillId="0" borderId="1" xfId="0" applyNumberFormat="1" applyFont="1" applyFill="1" applyBorder="1"/>
    <xf numFmtId="43" fontId="3" fillId="0" borderId="0" xfId="1" applyFont="1" applyFill="1" applyAlignment="1">
      <alignment horizontal="right"/>
    </xf>
    <xf numFmtId="165" fontId="3" fillId="0" borderId="0" xfId="0" applyNumberFormat="1" applyFont="1" applyFill="1" applyBorder="1"/>
    <xf numFmtId="167" fontId="3" fillId="0" borderId="0" xfId="1" applyNumberFormat="1" applyFont="1" applyFill="1"/>
    <xf numFmtId="167" fontId="4" fillId="0" borderId="0" xfId="0" applyNumberFormat="1" applyFont="1" applyFill="1"/>
    <xf numFmtId="167" fontId="3" fillId="0" borderId="0" xfId="0" applyNumberFormat="1" applyFont="1" applyFill="1"/>
    <xf numFmtId="165" fontId="3" fillId="0" borderId="0" xfId="1" applyNumberFormat="1" applyFont="1" applyFill="1" applyBorder="1"/>
    <xf numFmtId="2" fontId="7" fillId="0" borderId="1" xfId="0" applyNumberFormat="1" applyFont="1" applyFill="1" applyBorder="1"/>
    <xf numFmtId="0" fontId="6" fillId="2" borderId="0" xfId="0" quotePrefix="1" applyFont="1" applyFill="1"/>
    <xf numFmtId="0" fontId="6" fillId="2" borderId="0" xfId="0" applyFont="1" applyFill="1"/>
    <xf numFmtId="164" fontId="6" fillId="2" borderId="0" xfId="1" applyNumberFormat="1" applyFont="1" applyFill="1"/>
    <xf numFmtId="169" fontId="6" fillId="2" borderId="0" xfId="1" applyNumberFormat="1" applyFont="1" applyFill="1"/>
    <xf numFmtId="166" fontId="6" fillId="2" borderId="0" xfId="2" applyNumberFormat="1" applyFont="1" applyFill="1"/>
    <xf numFmtId="0" fontId="7" fillId="2" borderId="0" xfId="0" quotePrefix="1" applyFont="1" applyFill="1"/>
    <xf numFmtId="164" fontId="6" fillId="2" borderId="0" xfId="1" applyNumberFormat="1" applyFont="1" applyFill="1" applyBorder="1"/>
    <xf numFmtId="169" fontId="6" fillId="2" borderId="0" xfId="1" applyNumberFormat="1" applyFont="1" applyFill="1" applyBorder="1"/>
    <xf numFmtId="166" fontId="6" fillId="2" borderId="0" xfId="2" applyNumberFormat="1" applyFont="1" applyFill="1" applyBorder="1"/>
    <xf numFmtId="164" fontId="9" fillId="2" borderId="0" xfId="1" applyNumberFormat="1" applyFont="1" applyFill="1" applyBorder="1"/>
    <xf numFmtId="166" fontId="9" fillId="2" borderId="0" xfId="2" applyNumberFormat="1" applyFont="1" applyFill="1"/>
    <xf numFmtId="41" fontId="4" fillId="2" borderId="0" xfId="1" applyNumberFormat="1" applyFont="1" applyFill="1" applyBorder="1" applyAlignment="1">
      <alignment horizontal="center"/>
    </xf>
    <xf numFmtId="41" fontId="3" fillId="2" borderId="0" xfId="0" applyNumberFormat="1" applyFont="1" applyFill="1"/>
    <xf numFmtId="0" fontId="4" fillId="2" borderId="0" xfId="0" applyFont="1" applyFill="1"/>
    <xf numFmtId="167" fontId="4" fillId="2" borderId="0" xfId="1" applyNumberFormat="1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6" fillId="0" borderId="0" xfId="0" applyNumberFormat="1" applyFont="1" applyFill="1"/>
    <xf numFmtId="37" fontId="6" fillId="0" borderId="0" xfId="0" applyNumberFormat="1" applyFont="1" applyFill="1" applyBorder="1"/>
    <xf numFmtId="41" fontId="4" fillId="2" borderId="0" xfId="1" applyNumberFormat="1" applyFont="1" applyFill="1"/>
    <xf numFmtId="41" fontId="4" fillId="2" borderId="0" xfId="0" applyNumberFormat="1" applyFont="1" applyFill="1"/>
    <xf numFmtId="165" fontId="4" fillId="2" borderId="0" xfId="1" applyNumberFormat="1" applyFont="1" applyFill="1"/>
    <xf numFmtId="41" fontId="4" fillId="2" borderId="1" xfId="1" applyNumberFormat="1" applyFont="1" applyFill="1" applyBorder="1" applyAlignment="1">
      <alignment horizontal="center"/>
    </xf>
    <xf numFmtId="41" fontId="4" fillId="2" borderId="1" xfId="1" applyNumberFormat="1" applyFont="1" applyFill="1" applyBorder="1"/>
    <xf numFmtId="165" fontId="4" fillId="2" borderId="1" xfId="1" applyNumberFormat="1" applyFont="1" applyFill="1" applyBorder="1"/>
    <xf numFmtId="167" fontId="4" fillId="2" borderId="0" xfId="1" applyNumberFormat="1" applyFont="1" applyFill="1"/>
    <xf numFmtId="167" fontId="4" fillId="2" borderId="0" xfId="0" applyNumberFormat="1" applyFont="1" applyFill="1"/>
    <xf numFmtId="167" fontId="4" fillId="2" borderId="0" xfId="1" applyNumberFormat="1" applyFont="1" applyFill="1" applyBorder="1"/>
    <xf numFmtId="167" fontId="4" fillId="2" borderId="1" xfId="1" applyNumberFormat="1" applyFont="1" applyFill="1" applyBorder="1" applyAlignment="1">
      <alignment horizontal="center"/>
    </xf>
    <xf numFmtId="167" fontId="4" fillId="2" borderId="1" xfId="0" applyNumberFormat="1" applyFont="1" applyFill="1" applyBorder="1"/>
    <xf numFmtId="10" fontId="6" fillId="2" borderId="0" xfId="3" applyNumberFormat="1" applyFont="1" applyFill="1"/>
    <xf numFmtId="168" fontId="6" fillId="2" borderId="0" xfId="1" applyNumberFormat="1" applyFont="1" applyFill="1"/>
    <xf numFmtId="168" fontId="9" fillId="2" borderId="0" xfId="1" applyNumberFormat="1" applyFont="1" applyFill="1"/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/>
    </xf>
    <xf numFmtId="43" fontId="7" fillId="0" borderId="0" xfId="1" applyFont="1" applyFill="1" applyAlignment="1">
      <alignment horizontal="left" indent="3"/>
    </xf>
    <xf numFmtId="0" fontId="4" fillId="0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99"/>
      <color rgb="FFFFFF66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EECP\2021\(Draft)%20EECP%20Recovery%20Component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EECP\2021\EECPRC%20monthly%20costs%20and%20recoveries%2011-2009%20to%201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Costs"/>
      <sheetName val="ACA EECPCR PGA 23"/>
      <sheetName val="ACA EECPLS PGA 24"/>
      <sheetName val="ACA EECPI PGA 25"/>
      <sheetName val="ACA EECPBA PGA 26"/>
      <sheetName val="projected Bills"/>
    </sheetNames>
    <sheetDataSet>
      <sheetData sheetId="0"/>
      <sheetData sheetId="1">
        <row r="14">
          <cell r="O14">
            <v>108735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19">
          <cell r="E719">
            <v>9759348.200000003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75"/>
  <sheetViews>
    <sheetView tabSelected="1" zoomScale="80" zoomScaleNormal="80" workbookViewId="0">
      <selection activeCell="F68" sqref="F68"/>
    </sheetView>
  </sheetViews>
  <sheetFormatPr defaultColWidth="9.109375" defaultRowHeight="14.4" x14ac:dyDescent="0.3"/>
  <cols>
    <col min="1" max="1" width="9.109375" style="1"/>
    <col min="2" max="2" width="2.88671875" style="1" customWidth="1"/>
    <col min="3" max="3" width="12.33203125" style="1" customWidth="1"/>
    <col min="4" max="4" width="30.44140625" style="1" customWidth="1"/>
    <col min="5" max="5" width="13.5546875" style="1" customWidth="1"/>
    <col min="6" max="6" width="19.44140625" style="1" bestFit="1" customWidth="1"/>
    <col min="7" max="8" width="13.5546875" style="1" customWidth="1"/>
    <col min="9" max="9" width="15" style="36" bestFit="1" customWidth="1"/>
    <col min="10" max="11" width="8.88671875" style="36" customWidth="1"/>
    <col min="12" max="16384" width="9.109375" style="1"/>
  </cols>
  <sheetData>
    <row r="1" spans="1:8" x14ac:dyDescent="0.3">
      <c r="A1" s="37" t="s">
        <v>39</v>
      </c>
    </row>
    <row r="2" spans="1:8" x14ac:dyDescent="0.3">
      <c r="A2" s="37" t="s">
        <v>40</v>
      </c>
    </row>
    <row r="3" spans="1:8" x14ac:dyDescent="0.3">
      <c r="A3" s="37" t="s">
        <v>51</v>
      </c>
    </row>
    <row r="4" spans="1:8" x14ac:dyDescent="0.3">
      <c r="A4" s="37" t="s">
        <v>78</v>
      </c>
    </row>
    <row r="5" spans="1:8" x14ac:dyDescent="0.3">
      <c r="A5" s="37"/>
      <c r="D5" s="47"/>
    </row>
    <row r="6" spans="1:8" x14ac:dyDescent="0.3">
      <c r="A6" s="37" t="s">
        <v>5</v>
      </c>
      <c r="D6" s="47">
        <v>44500</v>
      </c>
    </row>
    <row r="7" spans="1:8" ht="15" thickBot="1" x14ac:dyDescent="0.35">
      <c r="A7" s="33"/>
      <c r="B7" s="33"/>
      <c r="C7" s="33"/>
      <c r="D7" s="33"/>
      <c r="E7" s="33"/>
      <c r="F7" s="33"/>
      <c r="G7" s="33"/>
      <c r="H7" s="33"/>
    </row>
    <row r="8" spans="1:8" x14ac:dyDescent="0.3">
      <c r="A8" s="37" t="s">
        <v>38</v>
      </c>
    </row>
    <row r="9" spans="1:8" x14ac:dyDescent="0.3">
      <c r="F9" s="5"/>
      <c r="G9" s="19"/>
      <c r="H9" s="5"/>
    </row>
    <row r="10" spans="1:8" x14ac:dyDescent="0.3">
      <c r="B10" s="37" t="s">
        <v>52</v>
      </c>
      <c r="F10" s="5"/>
      <c r="G10" s="19"/>
      <c r="H10" s="5"/>
    </row>
    <row r="11" spans="1:8" x14ac:dyDescent="0.3">
      <c r="C11" s="1" t="s">
        <v>30</v>
      </c>
      <c r="F11" s="19">
        <v>0</v>
      </c>
      <c r="G11" s="19"/>
      <c r="H11" s="5"/>
    </row>
    <row r="12" spans="1:8" x14ac:dyDescent="0.3">
      <c r="C12" s="1" t="s">
        <v>31</v>
      </c>
      <c r="F12" s="19">
        <v>0</v>
      </c>
      <c r="G12" s="19"/>
      <c r="H12" s="5"/>
    </row>
    <row r="13" spans="1:8" x14ac:dyDescent="0.3">
      <c r="C13" s="1" t="s">
        <v>61</v>
      </c>
      <c r="F13" s="19">
        <f>'[1]ACA EECPCR PGA 23'!$O$14</f>
        <v>108735</v>
      </c>
      <c r="H13" s="5"/>
    </row>
    <row r="14" spans="1:8" x14ac:dyDescent="0.3">
      <c r="A14" s="1" t="s">
        <v>18</v>
      </c>
      <c r="C14" s="1" t="s">
        <v>32</v>
      </c>
      <c r="F14" s="19">
        <v>0</v>
      </c>
      <c r="H14" s="5"/>
    </row>
    <row r="15" spans="1:8" x14ac:dyDescent="0.3">
      <c r="C15" s="65" t="s">
        <v>3</v>
      </c>
      <c r="G15" s="66">
        <f>SUM(F11:F14)</f>
        <v>108735</v>
      </c>
    </row>
    <row r="16" spans="1:8" x14ac:dyDescent="0.3">
      <c r="F16" s="5"/>
      <c r="G16" s="19"/>
      <c r="H16" s="5"/>
    </row>
    <row r="17" spans="1:8" x14ac:dyDescent="0.3">
      <c r="A17" s="36"/>
      <c r="B17" s="67" t="s">
        <v>41</v>
      </c>
      <c r="C17" s="67"/>
      <c r="D17" s="67"/>
      <c r="E17" s="67"/>
      <c r="F17" s="68"/>
      <c r="G17" s="32">
        <f>SUM(G9:G16)</f>
        <v>108735</v>
      </c>
      <c r="H17" s="60"/>
    </row>
    <row r="18" spans="1:8" ht="15" thickBot="1" x14ac:dyDescent="0.35">
      <c r="A18" s="33"/>
      <c r="B18" s="33"/>
      <c r="C18" s="33"/>
      <c r="D18" s="33"/>
      <c r="E18" s="33"/>
      <c r="F18" s="34"/>
      <c r="G18" s="69"/>
      <c r="H18" s="34"/>
    </row>
    <row r="19" spans="1:8" x14ac:dyDescent="0.3">
      <c r="A19" s="37" t="s">
        <v>36</v>
      </c>
      <c r="F19" s="70"/>
      <c r="G19" s="7"/>
      <c r="H19" s="71"/>
    </row>
    <row r="20" spans="1:8" x14ac:dyDescent="0.3">
      <c r="A20" s="37"/>
      <c r="F20" s="70"/>
      <c r="G20" s="7"/>
      <c r="H20" s="7"/>
    </row>
    <row r="21" spans="1:8" x14ac:dyDescent="0.3">
      <c r="A21" s="37"/>
      <c r="F21" s="70"/>
      <c r="G21" s="7"/>
      <c r="H21" s="7"/>
    </row>
    <row r="22" spans="1:8" x14ac:dyDescent="0.3">
      <c r="A22" s="37"/>
      <c r="D22" s="67"/>
      <c r="E22" s="67"/>
      <c r="F22" s="72"/>
      <c r="G22" s="72"/>
      <c r="H22" s="50"/>
    </row>
    <row r="23" spans="1:8" ht="28.8" x14ac:dyDescent="0.3">
      <c r="A23" s="37"/>
      <c r="C23" s="36"/>
      <c r="D23" s="67"/>
      <c r="E23" s="2" t="s">
        <v>28</v>
      </c>
      <c r="F23" s="3" t="s">
        <v>44</v>
      </c>
      <c r="G23" s="4" t="s">
        <v>26</v>
      </c>
      <c r="H23" s="2" t="s">
        <v>27</v>
      </c>
    </row>
    <row r="24" spans="1:8" ht="14.25" customHeight="1" x14ac:dyDescent="0.3">
      <c r="A24" s="37"/>
      <c r="B24" s="37" t="s">
        <v>42</v>
      </c>
      <c r="E24" s="5"/>
      <c r="F24" s="6"/>
      <c r="G24" s="8"/>
      <c r="H24" s="7"/>
    </row>
    <row r="25" spans="1:8" x14ac:dyDescent="0.3">
      <c r="A25" s="37"/>
      <c r="C25" s="55" t="s">
        <v>63</v>
      </c>
      <c r="E25" s="5">
        <f>SUM('Schedule A'!D12:D12)</f>
        <v>31</v>
      </c>
      <c r="F25" s="6">
        <f>'Schedule A'!F12</f>
        <v>204.6</v>
      </c>
      <c r="G25" s="8">
        <v>3.5665</v>
      </c>
      <c r="H25" s="7">
        <f>ROUND(F25*G25,0)</f>
        <v>730</v>
      </c>
    </row>
    <row r="26" spans="1:8" x14ac:dyDescent="0.3">
      <c r="A26" s="37"/>
      <c r="C26" s="55" t="s">
        <v>67</v>
      </c>
      <c r="E26" s="5">
        <f>'Schedule A'!D16</f>
        <v>0</v>
      </c>
      <c r="F26" s="6">
        <f>'Schedule A'!F16</f>
        <v>0</v>
      </c>
      <c r="G26" s="8">
        <f>G25</f>
        <v>3.5665</v>
      </c>
      <c r="H26" s="7">
        <f>ROUND(F26*G26,0)</f>
        <v>0</v>
      </c>
    </row>
    <row r="27" spans="1:8" x14ac:dyDescent="0.3">
      <c r="A27" s="37"/>
      <c r="C27" s="55" t="str">
        <f>+'Schedule A'!B20</f>
        <v>Residential Energy Audits</v>
      </c>
      <c r="E27" s="9">
        <f>+'Schedule A'!D20</f>
        <v>0</v>
      </c>
      <c r="F27" s="10">
        <f>'Schedule A'!F20</f>
        <v>0</v>
      </c>
      <c r="G27" s="11">
        <f>+G25</f>
        <v>3.5665</v>
      </c>
      <c r="H27" s="12">
        <f>ROUND(F27*G27,0)</f>
        <v>0</v>
      </c>
    </row>
    <row r="28" spans="1:8" x14ac:dyDescent="0.3">
      <c r="A28" s="37"/>
      <c r="D28" s="37" t="s">
        <v>11</v>
      </c>
      <c r="E28" s="13">
        <f>SUM(E24:E27)</f>
        <v>31</v>
      </c>
      <c r="F28" s="14">
        <f>SUM(F24:F27)</f>
        <v>204.6</v>
      </c>
      <c r="G28" s="15"/>
      <c r="H28" s="16">
        <f>SUM(H25:H27)</f>
        <v>730</v>
      </c>
    </row>
    <row r="29" spans="1:8" x14ac:dyDescent="0.3">
      <c r="A29" s="37"/>
      <c r="D29" s="37"/>
      <c r="E29" s="17"/>
      <c r="F29" s="18"/>
      <c r="G29" s="17"/>
      <c r="H29" s="17"/>
    </row>
    <row r="30" spans="1:8" x14ac:dyDescent="0.3">
      <c r="A30" s="36"/>
      <c r="B30" s="67" t="s">
        <v>77</v>
      </c>
      <c r="D30" s="36"/>
      <c r="E30" s="18"/>
      <c r="F30" s="18"/>
      <c r="G30" s="17"/>
      <c r="H30" s="19"/>
    </row>
    <row r="31" spans="1:8" x14ac:dyDescent="0.3">
      <c r="A31" s="36"/>
      <c r="B31" s="67"/>
      <c r="C31" s="55" t="str">
        <f>C25</f>
        <v>Furnace Replacements</v>
      </c>
      <c r="D31" s="36"/>
      <c r="E31" s="18">
        <f>'Schedule B'!P11</f>
        <v>1130</v>
      </c>
      <c r="F31" s="20">
        <f>'Schedule B'!P24</f>
        <v>7458.0000000000009</v>
      </c>
      <c r="G31" s="8">
        <f>G25</f>
        <v>3.5665</v>
      </c>
      <c r="H31" s="7">
        <f>ROUND(F31*G31,0)</f>
        <v>26599</v>
      </c>
    </row>
    <row r="32" spans="1:8" x14ac:dyDescent="0.3">
      <c r="A32" s="36"/>
      <c r="B32" s="67"/>
      <c r="C32" s="55" t="str">
        <f t="shared" ref="C32:C33" si="0">C26</f>
        <v>Appliance Rebates</v>
      </c>
      <c r="D32" s="36"/>
      <c r="E32" s="18">
        <f>'Schedule B'!P14</f>
        <v>9676</v>
      </c>
      <c r="F32" s="20">
        <f>'Schedule B'!P27</f>
        <v>61926.400000000009</v>
      </c>
      <c r="G32" s="8">
        <f t="shared" ref="G32:G33" si="1">G31</f>
        <v>3.5665</v>
      </c>
      <c r="H32" s="7">
        <f>ROUND(F32*G32,0)</f>
        <v>220861</v>
      </c>
    </row>
    <row r="33" spans="1:12" x14ac:dyDescent="0.3">
      <c r="A33" s="36"/>
      <c r="B33" s="67"/>
      <c r="C33" s="55" t="str">
        <f t="shared" si="0"/>
        <v>Residential Energy Audits</v>
      </c>
      <c r="D33" s="36"/>
      <c r="E33" s="21">
        <f>'Schedule B'!P17</f>
        <v>2627</v>
      </c>
      <c r="F33" s="22">
        <f>'Schedule B'!P30</f>
        <v>7881</v>
      </c>
      <c r="G33" s="11">
        <f t="shared" si="1"/>
        <v>3.5665</v>
      </c>
      <c r="H33" s="12">
        <f>ROUND(F33*G33,0)</f>
        <v>28108</v>
      </c>
    </row>
    <row r="34" spans="1:12" x14ac:dyDescent="0.3">
      <c r="A34" s="36"/>
      <c r="B34" s="36"/>
      <c r="C34" s="67"/>
      <c r="D34" s="67" t="s">
        <v>25</v>
      </c>
      <c r="E34" s="23">
        <f>+'Schedule B'!P18</f>
        <v>13433</v>
      </c>
      <c r="F34" s="24">
        <f>+'Schedule B'!P34</f>
        <v>77265.400000000009</v>
      </c>
      <c r="G34" s="25"/>
      <c r="H34" s="26">
        <f>SUM(H31:H33)</f>
        <v>275568</v>
      </c>
    </row>
    <row r="35" spans="1:12" x14ac:dyDescent="0.3">
      <c r="A35" s="36"/>
      <c r="B35" s="36"/>
      <c r="C35" s="67"/>
      <c r="D35" s="36"/>
      <c r="E35" s="13"/>
      <c r="F35" s="27"/>
      <c r="G35" s="28"/>
      <c r="H35" s="16"/>
    </row>
    <row r="36" spans="1:12" x14ac:dyDescent="0.3">
      <c r="A36" s="36"/>
      <c r="B36" s="67" t="s">
        <v>37</v>
      </c>
      <c r="D36" s="36"/>
      <c r="E36" s="29">
        <f>+E34+E28</f>
        <v>13464</v>
      </c>
      <c r="F36" s="30">
        <f>+F34+F28</f>
        <v>77470.000000000015</v>
      </c>
      <c r="G36" s="31"/>
      <c r="H36" s="32">
        <f>+H34+H28</f>
        <v>276298</v>
      </c>
    </row>
    <row r="37" spans="1:12" ht="15" thickBot="1" x14ac:dyDescent="0.35">
      <c r="A37" s="33"/>
      <c r="B37" s="33"/>
      <c r="C37" s="33"/>
      <c r="D37" s="33"/>
      <c r="E37" s="33"/>
      <c r="F37" s="34"/>
      <c r="G37" s="34"/>
      <c r="H37" s="34"/>
    </row>
    <row r="38" spans="1:12" x14ac:dyDescent="0.3">
      <c r="A38" s="36"/>
      <c r="B38" s="36"/>
      <c r="C38" s="67"/>
      <c r="D38" s="36"/>
      <c r="E38" s="36"/>
      <c r="F38" s="60"/>
      <c r="G38" s="60"/>
      <c r="H38" s="60"/>
    </row>
    <row r="39" spans="1:12" x14ac:dyDescent="0.3">
      <c r="A39" s="37" t="s">
        <v>34</v>
      </c>
    </row>
    <row r="40" spans="1:12" x14ac:dyDescent="0.3">
      <c r="D40" s="67"/>
      <c r="E40" s="36"/>
      <c r="F40" s="36"/>
      <c r="G40" s="36"/>
      <c r="H40" s="36"/>
      <c r="L40" s="36"/>
    </row>
    <row r="41" spans="1:12" x14ac:dyDescent="0.3">
      <c r="D41" s="36" t="s">
        <v>53</v>
      </c>
      <c r="E41" s="36"/>
      <c r="F41" s="35">
        <f>'Schedule C'!F29</f>
        <v>6209</v>
      </c>
      <c r="G41" s="36"/>
      <c r="H41" s="36"/>
      <c r="L41" s="36"/>
    </row>
    <row r="42" spans="1:12" x14ac:dyDescent="0.3">
      <c r="D42" s="73" t="s">
        <v>17</v>
      </c>
      <c r="E42" s="36"/>
      <c r="F42" s="60"/>
      <c r="G42" s="36"/>
      <c r="H42" s="36"/>
      <c r="L42" s="36"/>
    </row>
    <row r="44" spans="1:12" x14ac:dyDescent="0.3">
      <c r="D44" s="65" t="s">
        <v>54</v>
      </c>
      <c r="F44" s="66">
        <f>-G17</f>
        <v>-108735</v>
      </c>
      <c r="G44" s="42"/>
    </row>
    <row r="46" spans="1:12" x14ac:dyDescent="0.3">
      <c r="D46" s="37" t="s">
        <v>4</v>
      </c>
      <c r="E46" s="37"/>
      <c r="F46" s="74">
        <f>F41+F44</f>
        <v>-102526</v>
      </c>
    </row>
    <row r="48" spans="1:12" x14ac:dyDescent="0.3">
      <c r="D48" s="1" t="s">
        <v>2</v>
      </c>
      <c r="F48" s="130">
        <v>0.15</v>
      </c>
    </row>
    <row r="49" spans="1:19" x14ac:dyDescent="0.3">
      <c r="A49" s="36"/>
      <c r="B49" s="36"/>
      <c r="C49" s="36"/>
      <c r="D49" s="36"/>
      <c r="E49" s="36"/>
      <c r="F49" s="36"/>
      <c r="G49" s="36"/>
      <c r="H49" s="36"/>
    </row>
    <row r="50" spans="1:19" x14ac:dyDescent="0.3">
      <c r="A50" s="36"/>
      <c r="B50" s="67" t="s">
        <v>35</v>
      </c>
      <c r="C50" s="36"/>
      <c r="E50" s="67"/>
      <c r="F50" s="75">
        <f>ROUND(IF(F46*F48&lt;0,0,F46*F48),0)</f>
        <v>0</v>
      </c>
      <c r="G50" s="36"/>
      <c r="H50" s="36"/>
    </row>
    <row r="51" spans="1:19" ht="15" thickBot="1" x14ac:dyDescent="0.35">
      <c r="A51" s="33"/>
      <c r="B51" s="33"/>
      <c r="C51" s="33"/>
      <c r="D51" s="33"/>
      <c r="E51" s="33"/>
      <c r="F51" s="33"/>
      <c r="G51" s="33"/>
      <c r="H51" s="33"/>
    </row>
    <row r="52" spans="1:19" x14ac:dyDescent="0.3">
      <c r="A52" s="36"/>
      <c r="B52" s="36"/>
      <c r="C52" s="36"/>
      <c r="D52" s="36"/>
      <c r="E52" s="36"/>
      <c r="F52" s="36"/>
      <c r="G52" s="36"/>
      <c r="H52" s="36"/>
    </row>
    <row r="53" spans="1:19" ht="12" customHeight="1" x14ac:dyDescent="0.3">
      <c r="A53" s="37" t="s">
        <v>49</v>
      </c>
      <c r="F53" s="38"/>
      <c r="L53" s="36"/>
      <c r="M53" s="36"/>
      <c r="N53" s="36"/>
      <c r="O53" s="36"/>
      <c r="P53" s="36"/>
      <c r="Q53" s="36"/>
      <c r="S53" s="36"/>
    </row>
    <row r="54" spans="1:19" x14ac:dyDescent="0.3">
      <c r="A54" s="37"/>
      <c r="F54" s="38"/>
      <c r="L54" s="36"/>
      <c r="M54" s="36"/>
      <c r="N54" s="36"/>
      <c r="O54" s="36"/>
      <c r="P54" s="36"/>
      <c r="Q54" s="36"/>
      <c r="S54" s="36"/>
    </row>
    <row r="55" spans="1:19" x14ac:dyDescent="0.3">
      <c r="A55" s="37"/>
      <c r="F55" s="35"/>
      <c r="G55" s="38"/>
      <c r="L55" s="36"/>
      <c r="M55" s="36"/>
      <c r="N55" s="36"/>
      <c r="O55" s="36"/>
      <c r="P55" s="36"/>
      <c r="Q55" s="36"/>
      <c r="S55" s="36"/>
    </row>
    <row r="56" spans="1:19" x14ac:dyDescent="0.3">
      <c r="A56" s="37"/>
      <c r="C56" s="1" t="s">
        <v>81</v>
      </c>
      <c r="F56" s="19">
        <f>[2]Sheet1!$E$719</f>
        <v>9759348.200000003</v>
      </c>
      <c r="G56" s="38"/>
      <c r="L56" s="36"/>
      <c r="M56" s="36"/>
      <c r="N56" s="36"/>
      <c r="O56" s="36"/>
      <c r="P56" s="36"/>
      <c r="Q56" s="36"/>
      <c r="S56" s="36"/>
    </row>
    <row r="57" spans="1:19" x14ac:dyDescent="0.3">
      <c r="A57" s="37"/>
      <c r="F57" s="19"/>
      <c r="G57" s="38"/>
      <c r="I57" s="36" t="s">
        <v>84</v>
      </c>
      <c r="L57" s="36"/>
      <c r="M57" s="36"/>
      <c r="N57" s="36"/>
      <c r="O57" s="36"/>
      <c r="P57" s="36"/>
      <c r="Q57" s="36"/>
      <c r="S57" s="36"/>
    </row>
    <row r="58" spans="1:19" x14ac:dyDescent="0.3">
      <c r="A58" s="37"/>
      <c r="C58" s="1" t="s">
        <v>82</v>
      </c>
      <c r="F58" s="66">
        <f>9768214.65-7036-2660+47+8278+907</f>
        <v>9767750.6500000004</v>
      </c>
      <c r="G58" s="38"/>
      <c r="I58" s="1"/>
      <c r="L58" s="36"/>
      <c r="M58" s="36"/>
      <c r="N58" s="36"/>
      <c r="O58" s="36"/>
      <c r="P58" s="36"/>
      <c r="Q58" s="36"/>
      <c r="S58" s="36"/>
    </row>
    <row r="59" spans="1:19" x14ac:dyDescent="0.3">
      <c r="A59" s="37"/>
      <c r="F59" s="41"/>
      <c r="G59" s="38"/>
    </row>
    <row r="60" spans="1:19" x14ac:dyDescent="0.3">
      <c r="A60" s="37"/>
      <c r="B60" s="37" t="s">
        <v>33</v>
      </c>
      <c r="C60" s="37"/>
      <c r="D60" s="37" t="s">
        <v>50</v>
      </c>
      <c r="E60" s="37"/>
      <c r="F60" s="39">
        <f>F58-F56</f>
        <v>8402.4499999973923</v>
      </c>
      <c r="G60" s="39"/>
      <c r="I60" s="39"/>
    </row>
    <row r="61" spans="1:19" x14ac:dyDescent="0.3">
      <c r="A61" s="37"/>
      <c r="F61" s="38"/>
    </row>
    <row r="62" spans="1:19" x14ac:dyDescent="0.3">
      <c r="C62" s="1" t="s">
        <v>56</v>
      </c>
      <c r="E62" s="40"/>
      <c r="F62" s="66">
        <f>ROUND(0.001162*F60,0)</f>
        <v>10</v>
      </c>
      <c r="I62" s="41"/>
    </row>
    <row r="64" spans="1:19" x14ac:dyDescent="0.3">
      <c r="B64" s="1" t="s">
        <v>57</v>
      </c>
      <c r="F64" s="42">
        <f>F62+F60</f>
        <v>8412.4499999973923</v>
      </c>
      <c r="G64" s="42"/>
      <c r="H64" s="42"/>
      <c r="I64" s="41"/>
    </row>
    <row r="65" spans="1:9" x14ac:dyDescent="0.3">
      <c r="F65" s="42"/>
      <c r="G65" s="43"/>
    </row>
    <row r="66" spans="1:9" x14ac:dyDescent="0.3">
      <c r="B66" s="1" t="s">
        <v>58</v>
      </c>
      <c r="F66" s="43">
        <v>1473921</v>
      </c>
      <c r="I66" s="131"/>
    </row>
    <row r="68" spans="1:9" x14ac:dyDescent="0.3">
      <c r="B68" s="37" t="s">
        <v>59</v>
      </c>
      <c r="F68" s="112">
        <f>ROUND((F64/F66),2)</f>
        <v>0.01</v>
      </c>
      <c r="I68" s="44"/>
    </row>
    <row r="71" spans="1:9" ht="31.95" customHeight="1" x14ac:dyDescent="0.3">
      <c r="A71" s="146" t="str">
        <f>"(1) Interest equal to the average of the 3-month Commercial Paper Rate for the immediately preceding 12-month period. Interest for the period is 0.1162%"</f>
        <v>(1) Interest equal to the average of the 3-month Commercial Paper Rate for the immediately preceding 12-month period. Interest for the period is 0.1162%</v>
      </c>
      <c r="B71" s="147"/>
      <c r="C71" s="147"/>
      <c r="D71" s="147"/>
      <c r="E71" s="147"/>
      <c r="F71" s="147"/>
      <c r="G71" s="147"/>
      <c r="H71" s="148"/>
    </row>
    <row r="73" spans="1:9" x14ac:dyDescent="0.3">
      <c r="F73" s="76"/>
    </row>
    <row r="75" spans="1:9" x14ac:dyDescent="0.3">
      <c r="F75" s="76"/>
    </row>
  </sheetData>
  <mergeCells count="1">
    <mergeCell ref="A71:H71"/>
  </mergeCells>
  <phoneticPr fontId="2" type="noConversion"/>
  <printOptions horizontalCentered="1"/>
  <pageMargins left="0.63" right="0.59" top="0.44" bottom="0.1" header="0.34" footer="0.16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5"/>
  <sheetViews>
    <sheetView zoomScale="80" zoomScaleNormal="80" workbookViewId="0">
      <selection activeCell="F68" sqref="F68"/>
    </sheetView>
  </sheetViews>
  <sheetFormatPr defaultColWidth="9.109375" defaultRowHeight="14.4" x14ac:dyDescent="0.3"/>
  <cols>
    <col min="1" max="1" width="7.6640625" style="1" customWidth="1"/>
    <col min="2" max="2" width="10.6640625" style="1" customWidth="1"/>
    <col min="3" max="3" width="39" style="1" customWidth="1"/>
    <col min="4" max="4" width="11.44140625" style="1" bestFit="1" customWidth="1"/>
    <col min="5" max="5" width="14.109375" style="1" bestFit="1" customWidth="1"/>
    <col min="6" max="6" width="15.88671875" style="1" bestFit="1" customWidth="1"/>
    <col min="7" max="7" width="9.109375" style="1"/>
    <col min="8" max="8" width="12.44140625" style="1" bestFit="1" customWidth="1"/>
    <col min="9" max="16384" width="9.109375" style="1"/>
  </cols>
  <sheetData>
    <row r="1" spans="1:8" x14ac:dyDescent="0.3">
      <c r="A1" s="37" t="str">
        <f>'2021 Summary Schedule'!A1</f>
        <v>Columbia Gas of Kentucky, Inc.</v>
      </c>
      <c r="H1" s="45" t="s">
        <v>46</v>
      </c>
    </row>
    <row r="2" spans="1:8" x14ac:dyDescent="0.3">
      <c r="A2" s="37" t="str">
        <f>'2021 Summary Schedule'!A2</f>
        <v>Energy Efficiency/Conservation Program</v>
      </c>
    </row>
    <row r="3" spans="1:8" x14ac:dyDescent="0.3">
      <c r="A3" s="37" t="s">
        <v>6</v>
      </c>
    </row>
    <row r="5" spans="1:8" x14ac:dyDescent="0.3">
      <c r="A5" s="37"/>
      <c r="C5" s="46"/>
      <c r="D5" s="46"/>
      <c r="F5" s="47"/>
    </row>
    <row r="6" spans="1:8" x14ac:dyDescent="0.3">
      <c r="A6" s="37" t="s">
        <v>5</v>
      </c>
      <c r="C6" s="46">
        <f>+'2021 Summary Schedule'!D6</f>
        <v>44500</v>
      </c>
      <c r="D6" s="46"/>
      <c r="F6" s="47"/>
    </row>
    <row r="7" spans="1:8" x14ac:dyDescent="0.3">
      <c r="A7" s="37"/>
      <c r="C7" s="46"/>
      <c r="D7" s="46"/>
      <c r="F7" s="47"/>
    </row>
    <row r="8" spans="1:8" x14ac:dyDescent="0.3">
      <c r="D8" s="48"/>
      <c r="E8" s="48"/>
      <c r="F8" s="48"/>
      <c r="G8" s="48"/>
      <c r="H8" s="48"/>
    </row>
    <row r="9" spans="1:8" x14ac:dyDescent="0.3">
      <c r="D9" s="128"/>
      <c r="E9" s="149"/>
      <c r="F9" s="149"/>
      <c r="G9" s="49"/>
      <c r="H9" s="49"/>
    </row>
    <row r="10" spans="1:8" x14ac:dyDescent="0.3">
      <c r="D10" s="50" t="s">
        <v>7</v>
      </c>
      <c r="E10" s="151" t="s">
        <v>60</v>
      </c>
      <c r="F10" s="151"/>
      <c r="G10" s="51"/>
      <c r="H10" s="51"/>
    </row>
    <row r="11" spans="1:8" ht="15" thickBot="1" x14ac:dyDescent="0.35">
      <c r="B11" s="52" t="s">
        <v>66</v>
      </c>
      <c r="C11" s="52"/>
      <c r="D11" s="53" t="s">
        <v>8</v>
      </c>
      <c r="E11" s="54" t="s">
        <v>10</v>
      </c>
      <c r="F11" s="54" t="s">
        <v>1</v>
      </c>
      <c r="G11" s="50"/>
      <c r="H11" s="50"/>
    </row>
    <row r="12" spans="1:8" x14ac:dyDescent="0.3">
      <c r="B12" s="55" t="s">
        <v>63</v>
      </c>
      <c r="C12" s="55"/>
      <c r="D12" s="5">
        <v>31</v>
      </c>
      <c r="E12" s="56">
        <v>6.6</v>
      </c>
      <c r="F12" s="6">
        <f>ROUND(E12*D12,1)</f>
        <v>204.6</v>
      </c>
      <c r="G12" s="35"/>
      <c r="H12" s="35"/>
    </row>
    <row r="13" spans="1:8" x14ac:dyDescent="0.3">
      <c r="B13" s="55"/>
      <c r="C13" s="55"/>
      <c r="D13" s="5"/>
      <c r="E13" s="56"/>
      <c r="F13" s="6"/>
      <c r="G13" s="35"/>
      <c r="H13" s="35"/>
    </row>
    <row r="14" spans="1:8" x14ac:dyDescent="0.3">
      <c r="B14" s="55"/>
      <c r="C14" s="55"/>
      <c r="D14" s="5"/>
      <c r="E14" s="56"/>
      <c r="F14" s="6"/>
      <c r="G14" s="35"/>
      <c r="H14" s="35"/>
    </row>
    <row r="15" spans="1:8" x14ac:dyDescent="0.3">
      <c r="B15" s="52" t="s">
        <v>64</v>
      </c>
      <c r="C15" s="55"/>
      <c r="D15" s="5"/>
      <c r="E15" s="56"/>
      <c r="F15" s="6"/>
      <c r="G15" s="35"/>
      <c r="H15" s="35"/>
    </row>
    <row r="16" spans="1:8" x14ac:dyDescent="0.3">
      <c r="B16" s="55" t="s">
        <v>65</v>
      </c>
      <c r="C16" s="55"/>
      <c r="D16" s="5">
        <v>0</v>
      </c>
      <c r="E16" s="56">
        <v>6.4</v>
      </c>
      <c r="F16" s="6">
        <f>ROUND(E16*D16,1)</f>
        <v>0</v>
      </c>
      <c r="G16" s="35"/>
      <c r="H16" s="35"/>
    </row>
    <row r="17" spans="1:8" x14ac:dyDescent="0.3">
      <c r="B17" s="55"/>
      <c r="C17" s="55"/>
      <c r="D17" s="5"/>
      <c r="E17" s="56"/>
      <c r="F17" s="6"/>
      <c r="G17" s="35"/>
      <c r="H17" s="35"/>
    </row>
    <row r="18" spans="1:8" x14ac:dyDescent="0.3">
      <c r="B18" s="55"/>
      <c r="C18" s="55"/>
      <c r="D18" s="5"/>
      <c r="E18" s="56"/>
      <c r="F18" s="6"/>
      <c r="G18" s="35"/>
      <c r="H18" s="35"/>
    </row>
    <row r="19" spans="1:8" x14ac:dyDescent="0.3">
      <c r="B19" s="52" t="s">
        <v>9</v>
      </c>
      <c r="C19" s="52"/>
      <c r="D19" s="5"/>
      <c r="E19" s="57"/>
      <c r="F19" s="6"/>
      <c r="G19" s="36"/>
      <c r="H19" s="36"/>
    </row>
    <row r="20" spans="1:8" x14ac:dyDescent="0.3">
      <c r="B20" s="55" t="s">
        <v>55</v>
      </c>
      <c r="C20" s="55"/>
      <c r="D20" s="9">
        <v>0</v>
      </c>
      <c r="E20" s="58">
        <v>3</v>
      </c>
      <c r="F20" s="59">
        <f>ROUND(E20*D20,1)</f>
        <v>0</v>
      </c>
      <c r="G20" s="60"/>
      <c r="H20" s="60"/>
    </row>
    <row r="21" spans="1:8" x14ac:dyDescent="0.3">
      <c r="B21" s="152" t="s">
        <v>62</v>
      </c>
      <c r="C21" s="152"/>
      <c r="D21" s="13">
        <f>SUM(D12:D20)</f>
        <v>31</v>
      </c>
      <c r="E21" s="61"/>
      <c r="F21" s="62">
        <f>SUM(F12:F20)</f>
        <v>204.6</v>
      </c>
      <c r="G21" s="63"/>
      <c r="H21" s="23"/>
    </row>
    <row r="24" spans="1:8" x14ac:dyDescent="0.3">
      <c r="A24" s="64"/>
      <c r="B24" s="150" t="str">
        <f>"(1) Estimates based on budget and guidelines as submitted in Case No. 2009-00141"</f>
        <v>(1) Estimates based on budget and guidelines as submitted in Case No. 2009-00141</v>
      </c>
      <c r="C24" s="150"/>
      <c r="D24" s="150"/>
      <c r="E24" s="150"/>
    </row>
    <row r="25" spans="1:8" x14ac:dyDescent="0.3">
      <c r="A25" s="64"/>
    </row>
  </sheetData>
  <mergeCells count="4">
    <mergeCell ref="E9:F9"/>
    <mergeCell ref="B24:E24"/>
    <mergeCell ref="E10:F10"/>
    <mergeCell ref="B21:C21"/>
  </mergeCells>
  <phoneticPr fontId="2" type="noConversion"/>
  <pageMargins left="0.59" right="0.52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35"/>
  <sheetViews>
    <sheetView zoomScale="90" zoomScaleNormal="90" workbookViewId="0">
      <selection activeCell="F68" sqref="F68"/>
    </sheetView>
  </sheetViews>
  <sheetFormatPr defaultColWidth="9.109375" defaultRowHeight="13.8" x14ac:dyDescent="0.3"/>
  <cols>
    <col min="1" max="1" width="5.6640625" style="92" customWidth="1"/>
    <col min="2" max="2" width="9.5546875" style="92" customWidth="1"/>
    <col min="3" max="3" width="28.33203125" style="92" customWidth="1"/>
    <col min="4" max="4" width="6.5546875" style="92" customWidth="1"/>
    <col min="5" max="7" width="9.6640625" style="92" customWidth="1"/>
    <col min="8" max="8" width="10" style="92" bestFit="1" customWidth="1"/>
    <col min="9" max="15" width="10" style="92" customWidth="1"/>
    <col min="16" max="16" width="14" style="92" bestFit="1" customWidth="1"/>
    <col min="17" max="16384" width="9.109375" style="92"/>
  </cols>
  <sheetData>
    <row r="1" spans="1:19" x14ac:dyDescent="0.3">
      <c r="A1" s="91" t="str">
        <f>'2021 Summary Schedule'!A1</f>
        <v>Columbia Gas of Kentucky, Inc.</v>
      </c>
      <c r="P1" s="93" t="s">
        <v>47</v>
      </c>
    </row>
    <row r="2" spans="1:19" x14ac:dyDescent="0.3">
      <c r="A2" s="91" t="str">
        <f>'2021 Summary Schedule'!A2</f>
        <v>Energy Efficiency/Conservation Program</v>
      </c>
    </row>
    <row r="3" spans="1:19" x14ac:dyDescent="0.3">
      <c r="A3" s="91" t="s">
        <v>20</v>
      </c>
    </row>
    <row r="4" spans="1:19" x14ac:dyDescent="0.3">
      <c r="A4" s="91"/>
    </row>
    <row r="5" spans="1:19" x14ac:dyDescent="0.3">
      <c r="A5" s="91" t="s">
        <v>73</v>
      </c>
      <c r="C5" s="92" t="s">
        <v>83</v>
      </c>
    </row>
    <row r="6" spans="1:19" ht="36" customHeight="1" x14ac:dyDescent="0.3">
      <c r="A6" s="153"/>
      <c r="B6" s="153"/>
      <c r="C6" s="153"/>
      <c r="D6" s="153"/>
      <c r="P6" s="94"/>
    </row>
    <row r="7" spans="1:19" ht="36" customHeight="1" thickBot="1" x14ac:dyDescent="0.35">
      <c r="D7" s="95"/>
      <c r="E7" s="96">
        <v>2010</v>
      </c>
      <c r="F7" s="96">
        <v>2011</v>
      </c>
      <c r="G7" s="96">
        <v>2012</v>
      </c>
      <c r="H7" s="96">
        <v>2013</v>
      </c>
      <c r="I7" s="96">
        <v>2014</v>
      </c>
      <c r="J7" s="96">
        <v>2015</v>
      </c>
      <c r="K7" s="96">
        <v>2016</v>
      </c>
      <c r="L7" s="96">
        <v>2017</v>
      </c>
      <c r="M7" s="96">
        <v>2018</v>
      </c>
      <c r="N7" s="96">
        <v>2019</v>
      </c>
      <c r="O7" s="96">
        <v>2020</v>
      </c>
      <c r="P7" s="97" t="s">
        <v>23</v>
      </c>
      <c r="Q7" s="98"/>
      <c r="R7" s="98"/>
      <c r="S7" s="98"/>
    </row>
    <row r="8" spans="1:19" x14ac:dyDescent="0.3">
      <c r="A8" s="91" t="s">
        <v>0</v>
      </c>
      <c r="D8" s="99"/>
      <c r="P8" s="91"/>
    </row>
    <row r="9" spans="1:19" x14ac:dyDescent="0.3">
      <c r="D9" s="95"/>
      <c r="P9" s="91"/>
    </row>
    <row r="10" spans="1:19" x14ac:dyDescent="0.3">
      <c r="B10" s="100" t="str">
        <f>'Schedule A'!B11</f>
        <v>A. Low-Income Furnace Replacement Program</v>
      </c>
      <c r="C10" s="100"/>
      <c r="D10" s="95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1:19" x14ac:dyDescent="0.3">
      <c r="B11" s="103" t="str">
        <f>'Schedule A'!B12</f>
        <v>Furnace Replacements</v>
      </c>
      <c r="C11" s="100"/>
      <c r="D11" s="95"/>
      <c r="E11" s="132">
        <v>24</v>
      </c>
      <c r="F11" s="133">
        <v>91</v>
      </c>
      <c r="G11" s="134">
        <v>160</v>
      </c>
      <c r="H11" s="134">
        <v>264</v>
      </c>
      <c r="I11" s="134">
        <v>198</v>
      </c>
      <c r="J11" s="134">
        <v>98</v>
      </c>
      <c r="K11" s="134">
        <v>62</v>
      </c>
      <c r="L11" s="134">
        <v>76</v>
      </c>
      <c r="M11" s="134">
        <v>73</v>
      </c>
      <c r="N11" s="134">
        <v>66</v>
      </c>
      <c r="O11" s="134">
        <v>18</v>
      </c>
      <c r="P11" s="102">
        <f>SUM(E11:O11)</f>
        <v>1130</v>
      </c>
    </row>
    <row r="12" spans="1:19" x14ac:dyDescent="0.3">
      <c r="B12" s="103"/>
      <c r="C12" s="103"/>
      <c r="D12" s="104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02"/>
    </row>
    <row r="13" spans="1:19" x14ac:dyDescent="0.3">
      <c r="B13" s="100" t="str">
        <f>'Schedule A'!B15</f>
        <v>B. High-Efficiency Appliance Rebates</v>
      </c>
      <c r="C13" s="100"/>
      <c r="D13" s="104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02"/>
    </row>
    <row r="14" spans="1:19" x14ac:dyDescent="0.3">
      <c r="B14" s="103" t="str">
        <f>'Schedule A'!B16</f>
        <v>Residential Rebates</v>
      </c>
      <c r="C14" s="100"/>
      <c r="D14" s="104"/>
      <c r="E14" s="124">
        <v>0</v>
      </c>
      <c r="F14" s="133">
        <v>1429</v>
      </c>
      <c r="G14" s="134">
        <v>1138</v>
      </c>
      <c r="H14" s="134">
        <v>1194</v>
      </c>
      <c r="I14" s="134">
        <v>1248</v>
      </c>
      <c r="J14" s="134">
        <v>1179</v>
      </c>
      <c r="K14" s="134">
        <v>977</v>
      </c>
      <c r="L14" s="134">
        <v>1017</v>
      </c>
      <c r="M14" s="134">
        <v>1261</v>
      </c>
      <c r="N14" s="134">
        <v>233</v>
      </c>
      <c r="O14" s="134">
        <v>0</v>
      </c>
      <c r="P14" s="102">
        <f>SUM(E14:O14)</f>
        <v>9676</v>
      </c>
    </row>
    <row r="15" spans="1:19" x14ac:dyDescent="0.3">
      <c r="B15" s="103"/>
      <c r="C15" s="103"/>
      <c r="D15" s="104"/>
      <c r="E15" s="124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02"/>
    </row>
    <row r="16" spans="1:19" x14ac:dyDescent="0.3">
      <c r="B16" s="100" t="s">
        <v>9</v>
      </c>
      <c r="C16" s="100"/>
      <c r="D16" s="104"/>
      <c r="E16" s="124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02"/>
    </row>
    <row r="17" spans="1:16" x14ac:dyDescent="0.3">
      <c r="B17" s="103" t="str">
        <f>'Schedule A'!B20</f>
        <v>Residential Energy Audits</v>
      </c>
      <c r="C17" s="103"/>
      <c r="D17" s="104"/>
      <c r="E17" s="135">
        <v>183</v>
      </c>
      <c r="F17" s="136">
        <v>277</v>
      </c>
      <c r="G17" s="137">
        <v>158</v>
      </c>
      <c r="H17" s="137">
        <v>1399</v>
      </c>
      <c r="I17" s="137">
        <v>252</v>
      </c>
      <c r="J17" s="137">
        <v>116</v>
      </c>
      <c r="K17" s="137">
        <v>82</v>
      </c>
      <c r="L17" s="137">
        <v>119</v>
      </c>
      <c r="M17" s="137">
        <v>40</v>
      </c>
      <c r="N17" s="137">
        <v>1</v>
      </c>
      <c r="O17" s="137">
        <v>0</v>
      </c>
      <c r="P17" s="105">
        <f>SUM(E17:O17)</f>
        <v>2627</v>
      </c>
    </row>
    <row r="18" spans="1:16" x14ac:dyDescent="0.3">
      <c r="B18" s="106" t="s">
        <v>1</v>
      </c>
      <c r="C18" s="106"/>
      <c r="D18" s="107"/>
      <c r="E18" s="125">
        <f t="shared" ref="E18:F18" si="0">SUM(E11:E17)</f>
        <v>207</v>
      </c>
      <c r="F18" s="125">
        <f t="shared" si="0"/>
        <v>1797</v>
      </c>
      <c r="G18" s="125">
        <f t="shared" ref="G18:P18" si="1">SUM(G11:G17)</f>
        <v>1456</v>
      </c>
      <c r="H18" s="125">
        <f t="shared" si="1"/>
        <v>2857</v>
      </c>
      <c r="I18" s="125">
        <f t="shared" si="1"/>
        <v>1698</v>
      </c>
      <c r="J18" s="125">
        <f t="shared" si="1"/>
        <v>1393</v>
      </c>
      <c r="K18" s="125">
        <f t="shared" si="1"/>
        <v>1121</v>
      </c>
      <c r="L18" s="125">
        <f t="shared" si="1"/>
        <v>1212</v>
      </c>
      <c r="M18" s="125">
        <f t="shared" si="1"/>
        <v>1374</v>
      </c>
      <c r="N18" s="125">
        <f t="shared" ref="N18:O18" si="2">SUM(N11:N17)</f>
        <v>300</v>
      </c>
      <c r="O18" s="125">
        <f t="shared" si="2"/>
        <v>18</v>
      </c>
      <c r="P18" s="102">
        <f t="shared" si="1"/>
        <v>13433</v>
      </c>
    </row>
    <row r="19" spans="1:16" x14ac:dyDescent="0.3">
      <c r="D19" s="99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91"/>
    </row>
    <row r="20" spans="1:16" x14ac:dyDescent="0.3">
      <c r="D20" s="99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91"/>
    </row>
    <row r="21" spans="1:16" x14ac:dyDescent="0.3">
      <c r="A21" s="91" t="s">
        <v>45</v>
      </c>
      <c r="D21" s="99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91"/>
    </row>
    <row r="22" spans="1:16" x14ac:dyDescent="0.3">
      <c r="D22" s="9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91"/>
    </row>
    <row r="23" spans="1:16" x14ac:dyDescent="0.3">
      <c r="B23" s="100" t="s">
        <v>66</v>
      </c>
      <c r="C23" s="100"/>
      <c r="D23" s="9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6" x14ac:dyDescent="0.3">
      <c r="B24" s="103" t="s">
        <v>63</v>
      </c>
      <c r="C24" s="103"/>
      <c r="D24" s="104"/>
      <c r="E24" s="138">
        <v>158.4</v>
      </c>
      <c r="F24" s="139">
        <v>600.6</v>
      </c>
      <c r="G24" s="139">
        <v>1056</v>
      </c>
      <c r="H24" s="139">
        <f>H11*'Schedule A'!E12</f>
        <v>1742.3999999999999</v>
      </c>
      <c r="I24" s="139">
        <v>1306.8</v>
      </c>
      <c r="J24" s="139">
        <v>646.79999999999995</v>
      </c>
      <c r="K24" s="139">
        <v>409.2</v>
      </c>
      <c r="L24" s="139">
        <v>501.6</v>
      </c>
      <c r="M24" s="139">
        <v>481.8</v>
      </c>
      <c r="N24" s="139">
        <v>435.6</v>
      </c>
      <c r="O24" s="139">
        <v>118.8</v>
      </c>
      <c r="P24" s="102">
        <f>SUM(E24:O24)</f>
        <v>7458.0000000000009</v>
      </c>
    </row>
    <row r="25" spans="1:16" x14ac:dyDescent="0.3">
      <c r="B25" s="103"/>
      <c r="C25" s="103"/>
      <c r="D25" s="104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02"/>
    </row>
    <row r="26" spans="1:16" x14ac:dyDescent="0.3">
      <c r="B26" s="100" t="s">
        <v>64</v>
      </c>
      <c r="C26" s="100"/>
      <c r="D26" s="104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02"/>
    </row>
    <row r="27" spans="1:16" x14ac:dyDescent="0.3">
      <c r="B27" s="103" t="s">
        <v>65</v>
      </c>
      <c r="C27" s="103"/>
      <c r="D27" s="104"/>
      <c r="E27" s="140">
        <v>0</v>
      </c>
      <c r="F27" s="139">
        <v>9145.6</v>
      </c>
      <c r="G27" s="139">
        <v>7283.2</v>
      </c>
      <c r="H27" s="139">
        <f>H14*'Schedule A'!E16</f>
        <v>7641.6</v>
      </c>
      <c r="I27" s="139">
        <v>7987.2</v>
      </c>
      <c r="J27" s="139">
        <v>7545.6</v>
      </c>
      <c r="K27" s="139">
        <v>6252.8</v>
      </c>
      <c r="L27" s="139">
        <v>6508.8</v>
      </c>
      <c r="M27" s="139">
        <v>8070.4</v>
      </c>
      <c r="N27" s="139">
        <v>1491.2</v>
      </c>
      <c r="O27" s="139">
        <v>0</v>
      </c>
      <c r="P27" s="102">
        <f>SUM(E27:O27)</f>
        <v>61926.400000000009</v>
      </c>
    </row>
    <row r="28" spans="1:16" x14ac:dyDescent="0.3">
      <c r="B28" s="103"/>
      <c r="C28" s="103"/>
      <c r="D28" s="104"/>
      <c r="E28" s="138"/>
      <c r="F28" s="139"/>
      <c r="G28" s="139"/>
      <c r="H28" s="139"/>
      <c r="I28" s="139"/>
      <c r="J28" s="139"/>
      <c r="K28" s="139"/>
      <c r="L28" s="126"/>
      <c r="M28" s="126"/>
      <c r="N28" s="126"/>
      <c r="O28" s="126"/>
      <c r="P28" s="102"/>
    </row>
    <row r="29" spans="1:16" x14ac:dyDescent="0.3">
      <c r="B29" s="100" t="s">
        <v>9</v>
      </c>
      <c r="C29" s="100"/>
      <c r="D29" s="104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02"/>
    </row>
    <row r="30" spans="1:16" x14ac:dyDescent="0.3">
      <c r="B30" s="103" t="s">
        <v>55</v>
      </c>
      <c r="C30" s="103"/>
      <c r="D30" s="104"/>
      <c r="E30" s="141">
        <v>549</v>
      </c>
      <c r="F30" s="142">
        <v>831</v>
      </c>
      <c r="G30" s="142">
        <v>474</v>
      </c>
      <c r="H30" s="142">
        <f>H17*'Schedule A'!E20</f>
        <v>4197</v>
      </c>
      <c r="I30" s="142">
        <v>756</v>
      </c>
      <c r="J30" s="142">
        <v>348</v>
      </c>
      <c r="K30" s="142">
        <v>246</v>
      </c>
      <c r="L30" s="142">
        <v>357</v>
      </c>
      <c r="M30" s="142">
        <v>120</v>
      </c>
      <c r="N30" s="142">
        <v>3</v>
      </c>
      <c r="O30" s="142">
        <v>0</v>
      </c>
      <c r="P30" s="105">
        <f>SUM(E30:O30)</f>
        <v>7881</v>
      </c>
    </row>
    <row r="31" spans="1:16" x14ac:dyDescent="0.3">
      <c r="B31" s="106" t="s">
        <v>1</v>
      </c>
      <c r="C31" s="106"/>
      <c r="D31" s="107"/>
      <c r="E31" s="108">
        <f t="shared" ref="E31:P31" si="3">SUM(E24:E30)</f>
        <v>707.4</v>
      </c>
      <c r="F31" s="108">
        <f t="shared" si="3"/>
        <v>10577.2</v>
      </c>
      <c r="G31" s="108">
        <f t="shared" si="3"/>
        <v>8813.2000000000007</v>
      </c>
      <c r="H31" s="108">
        <f t="shared" si="3"/>
        <v>13581</v>
      </c>
      <c r="I31" s="108">
        <f t="shared" si="3"/>
        <v>10050</v>
      </c>
      <c r="J31" s="108">
        <f t="shared" ref="J31:M31" si="4">SUM(J24:J30)</f>
        <v>8540.4</v>
      </c>
      <c r="K31" s="108">
        <f t="shared" si="4"/>
        <v>6908</v>
      </c>
      <c r="L31" s="108">
        <f t="shared" si="4"/>
        <v>7367.4000000000005</v>
      </c>
      <c r="M31" s="108">
        <f t="shared" si="4"/>
        <v>8672.1999999999989</v>
      </c>
      <c r="N31" s="108">
        <f t="shared" ref="N31:O31" si="5">SUM(N24:N30)</f>
        <v>1929.8000000000002</v>
      </c>
      <c r="O31" s="108">
        <f t="shared" si="5"/>
        <v>118.8</v>
      </c>
      <c r="P31" s="108">
        <f t="shared" si="3"/>
        <v>77265.400000000009</v>
      </c>
    </row>
    <row r="32" spans="1:16" x14ac:dyDescent="0.3">
      <c r="D32" s="9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x14ac:dyDescent="0.3">
      <c r="D33" s="9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s="91" customFormat="1" x14ac:dyDescent="0.3">
      <c r="A34" s="91" t="s">
        <v>74</v>
      </c>
      <c r="D34" s="111"/>
      <c r="E34" s="108">
        <f t="shared" ref="E34:I34" si="6">+E31</f>
        <v>707.4</v>
      </c>
      <c r="F34" s="108">
        <f t="shared" si="6"/>
        <v>10577.2</v>
      </c>
      <c r="G34" s="108">
        <f t="shared" si="6"/>
        <v>8813.2000000000007</v>
      </c>
      <c r="H34" s="108">
        <f t="shared" si="6"/>
        <v>13581</v>
      </c>
      <c r="I34" s="108">
        <f t="shared" si="6"/>
        <v>10050</v>
      </c>
      <c r="J34" s="108">
        <f t="shared" ref="J34:M34" si="7">+J31</f>
        <v>8540.4</v>
      </c>
      <c r="K34" s="108">
        <f t="shared" si="7"/>
        <v>6908</v>
      </c>
      <c r="L34" s="108">
        <f t="shared" si="7"/>
        <v>7367.4000000000005</v>
      </c>
      <c r="M34" s="108">
        <f t="shared" si="7"/>
        <v>8672.1999999999989</v>
      </c>
      <c r="N34" s="108">
        <f t="shared" ref="N34:O34" si="8">+N31</f>
        <v>1929.8000000000002</v>
      </c>
      <c r="O34" s="108">
        <f t="shared" si="8"/>
        <v>118.8</v>
      </c>
      <c r="P34" s="110">
        <f>SUM(E34:O34)</f>
        <v>77265.400000000009</v>
      </c>
    </row>
    <row r="35" spans="1:16" x14ac:dyDescent="0.3">
      <c r="D35" s="104"/>
    </row>
  </sheetData>
  <mergeCells count="1">
    <mergeCell ref="A6:D6"/>
  </mergeCells>
  <phoneticPr fontId="2" type="noConversion"/>
  <pageMargins left="0.5" right="0.5" top="1" bottom="1" header="0.5" footer="0.5"/>
  <pageSetup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4"/>
  <sheetViews>
    <sheetView zoomScale="90" zoomScaleNormal="90" workbookViewId="0">
      <selection activeCell="F68" sqref="F68"/>
    </sheetView>
  </sheetViews>
  <sheetFormatPr defaultColWidth="9.109375" defaultRowHeight="14.4" x14ac:dyDescent="0.3"/>
  <cols>
    <col min="1" max="1" width="11" style="1" customWidth="1"/>
    <col min="2" max="2" width="23.109375" style="1" customWidth="1"/>
    <col min="3" max="3" width="3.5546875" style="1" customWidth="1"/>
    <col min="4" max="4" width="15.88671875" style="1" bestFit="1" customWidth="1"/>
    <col min="5" max="6" width="12.6640625" style="1" customWidth="1"/>
    <col min="7" max="7" width="12.33203125" style="1" bestFit="1" customWidth="1"/>
    <col min="8" max="16384" width="9.109375" style="1"/>
  </cols>
  <sheetData>
    <row r="1" spans="1:7" x14ac:dyDescent="0.3">
      <c r="A1" s="37" t="str">
        <f>'2021 Summary Schedule'!A1</f>
        <v>Columbia Gas of Kentucky, Inc.</v>
      </c>
    </row>
    <row r="2" spans="1:7" x14ac:dyDescent="0.3">
      <c r="A2" s="37" t="str">
        <f>'2021 Summary Schedule'!A2</f>
        <v>Energy Efficiency/Conservation Program</v>
      </c>
      <c r="F2" s="45" t="s">
        <v>48</v>
      </c>
    </row>
    <row r="3" spans="1:7" x14ac:dyDescent="0.3">
      <c r="A3" s="37" t="s">
        <v>19</v>
      </c>
    </row>
    <row r="5" spans="1:7" x14ac:dyDescent="0.3">
      <c r="A5" s="37"/>
      <c r="D5" s="47"/>
    </row>
    <row r="6" spans="1:7" x14ac:dyDescent="0.3">
      <c r="A6" s="37" t="s">
        <v>5</v>
      </c>
      <c r="D6" s="47">
        <f>+'2021 Summary Schedule'!D6</f>
        <v>44500</v>
      </c>
    </row>
    <row r="7" spans="1:7" x14ac:dyDescent="0.3">
      <c r="A7" s="37"/>
      <c r="D7" s="47"/>
    </row>
    <row r="10" spans="1:7" x14ac:dyDescent="0.3">
      <c r="A10" s="37" t="s">
        <v>43</v>
      </c>
      <c r="E10" s="6">
        <f>'2021 Summary Schedule'!F28</f>
        <v>204.6</v>
      </c>
      <c r="F10" s="81" t="s">
        <v>21</v>
      </c>
    </row>
    <row r="11" spans="1:7" x14ac:dyDescent="0.3">
      <c r="A11" s="37"/>
      <c r="E11" s="6"/>
    </row>
    <row r="12" spans="1:7" ht="6.75" customHeight="1" x14ac:dyDescent="0.3">
      <c r="A12" s="37"/>
      <c r="B12" s="67"/>
      <c r="C12" s="67"/>
      <c r="D12" s="67"/>
      <c r="E12" s="82"/>
    </row>
    <row r="13" spans="1:7" x14ac:dyDescent="0.3">
      <c r="B13" s="67"/>
      <c r="C13" s="67"/>
      <c r="D13" s="83" t="s">
        <v>21</v>
      </c>
      <c r="E13" s="83" t="s">
        <v>24</v>
      </c>
      <c r="F13" s="50"/>
    </row>
    <row r="14" spans="1:7" ht="28.8" x14ac:dyDescent="0.3">
      <c r="B14" s="129" t="s">
        <v>12</v>
      </c>
      <c r="C14" s="129"/>
      <c r="D14" s="2" t="s">
        <v>44</v>
      </c>
      <c r="E14" s="2" t="s">
        <v>29</v>
      </c>
      <c r="F14" s="2" t="s">
        <v>22</v>
      </c>
    </row>
    <row r="15" spans="1:7" x14ac:dyDescent="0.3">
      <c r="B15" s="114">
        <v>2021</v>
      </c>
      <c r="C15" s="114"/>
      <c r="D15" s="115">
        <f>'2021 Summary Schedule'!F28</f>
        <v>204.6</v>
      </c>
      <c r="E15" s="116">
        <f>'Schedule D'!B9</f>
        <v>4.4732750859417409</v>
      </c>
      <c r="F15" s="117">
        <f>E15*D15</f>
        <v>915.23208258368015</v>
      </c>
      <c r="G15" s="84"/>
    </row>
    <row r="16" spans="1:7" x14ac:dyDescent="0.3">
      <c r="B16" s="114">
        <v>2022</v>
      </c>
      <c r="C16" s="118"/>
      <c r="D16" s="115">
        <f t="shared" ref="D16:D24" si="0">D15</f>
        <v>204.6</v>
      </c>
      <c r="E16" s="116">
        <f>'Schedule D'!C9</f>
        <v>4.5863147096073824</v>
      </c>
      <c r="F16" s="117">
        <f t="shared" ref="F16:F22" si="1">E16*D16</f>
        <v>938.35998958567041</v>
      </c>
      <c r="G16" s="84"/>
    </row>
    <row r="17" spans="2:7" x14ac:dyDescent="0.3">
      <c r="B17" s="114">
        <v>2023</v>
      </c>
      <c r="C17" s="118"/>
      <c r="D17" s="115">
        <f t="shared" si="0"/>
        <v>204.6</v>
      </c>
      <c r="E17" s="116">
        <f>'Schedule D'!D9</f>
        <v>4.3752056088293827</v>
      </c>
      <c r="F17" s="117">
        <f t="shared" si="1"/>
        <v>895.16706756649171</v>
      </c>
      <c r="G17" s="84"/>
    </row>
    <row r="18" spans="2:7" x14ac:dyDescent="0.3">
      <c r="B18" s="114">
        <v>2024</v>
      </c>
      <c r="C18" s="118"/>
      <c r="D18" s="115">
        <f t="shared" si="0"/>
        <v>204.6</v>
      </c>
      <c r="E18" s="116">
        <f>'Schedule D'!E9</f>
        <v>4.2028408539895059</v>
      </c>
      <c r="F18" s="117">
        <f t="shared" si="1"/>
        <v>859.90123872625293</v>
      </c>
      <c r="G18" s="84"/>
    </row>
    <row r="19" spans="2:7" x14ac:dyDescent="0.3">
      <c r="B19" s="114">
        <v>2025</v>
      </c>
      <c r="C19" s="118"/>
      <c r="D19" s="115">
        <f t="shared" si="0"/>
        <v>204.6</v>
      </c>
      <c r="E19" s="116">
        <f>'Schedule D'!F9</f>
        <v>4.2738848199746702</v>
      </c>
      <c r="F19" s="117">
        <f t="shared" si="1"/>
        <v>874.43683416681745</v>
      </c>
      <c r="G19" s="84"/>
    </row>
    <row r="20" spans="2:7" x14ac:dyDescent="0.3">
      <c r="B20" s="114">
        <v>2026</v>
      </c>
      <c r="C20" s="118"/>
      <c r="D20" s="115">
        <f t="shared" si="0"/>
        <v>204.6</v>
      </c>
      <c r="E20" s="116">
        <f>'Schedule D'!G9</f>
        <v>4.3679747421747788</v>
      </c>
      <c r="F20" s="117">
        <f t="shared" si="1"/>
        <v>893.68763224895974</v>
      </c>
      <c r="G20" s="84"/>
    </row>
    <row r="21" spans="2:7" x14ac:dyDescent="0.3">
      <c r="B21" s="114">
        <v>2027</v>
      </c>
      <c r="C21" s="118"/>
      <c r="D21" s="119">
        <f t="shared" si="0"/>
        <v>204.6</v>
      </c>
      <c r="E21" s="116">
        <f>'Schedule D'!H9</f>
        <v>4.420272552922019</v>
      </c>
      <c r="F21" s="117">
        <f t="shared" si="1"/>
        <v>904.38776432784505</v>
      </c>
      <c r="G21" s="84"/>
    </row>
    <row r="22" spans="2:7" x14ac:dyDescent="0.3">
      <c r="B22" s="114">
        <v>2028</v>
      </c>
      <c r="C22" s="118"/>
      <c r="D22" s="119">
        <f t="shared" si="0"/>
        <v>204.6</v>
      </c>
      <c r="E22" s="116">
        <f>'Schedule D'!I9</f>
        <v>4.5409248055002713</v>
      </c>
      <c r="F22" s="117">
        <f t="shared" si="1"/>
        <v>929.0732152053555</v>
      </c>
      <c r="G22" s="84"/>
    </row>
    <row r="23" spans="2:7" x14ac:dyDescent="0.3">
      <c r="B23" s="114">
        <v>2029</v>
      </c>
      <c r="C23" s="118"/>
      <c r="D23" s="119">
        <f t="shared" si="0"/>
        <v>204.6</v>
      </c>
      <c r="E23" s="120">
        <f>'Schedule D'!J9</f>
        <v>4.6450690066944089</v>
      </c>
      <c r="F23" s="121">
        <f>E23*D23</f>
        <v>950.38111876967605</v>
      </c>
      <c r="G23" s="84"/>
    </row>
    <row r="24" spans="2:7" ht="16.2" x14ac:dyDescent="0.45">
      <c r="B24" s="114">
        <v>2030</v>
      </c>
      <c r="C24" s="118"/>
      <c r="D24" s="122">
        <f t="shared" si="0"/>
        <v>204.6</v>
      </c>
      <c r="E24" s="116">
        <f>'Schedule D'!K9</f>
        <v>4.6933085579880585</v>
      </c>
      <c r="F24" s="123">
        <f>E24*D24</f>
        <v>960.25093096435671</v>
      </c>
      <c r="G24" s="84"/>
    </row>
    <row r="25" spans="2:7" x14ac:dyDescent="0.3">
      <c r="B25" s="85" t="s">
        <v>13</v>
      </c>
      <c r="C25" s="85"/>
      <c r="D25" s="86">
        <f>SUM(D15:D24)</f>
        <v>2045.9999999999995</v>
      </c>
      <c r="E25" s="37"/>
      <c r="F25" s="16">
        <f>SUM(F15:F24)</f>
        <v>9120.877874145106</v>
      </c>
      <c r="G25" s="84"/>
    </row>
    <row r="26" spans="2:7" x14ac:dyDescent="0.3">
      <c r="B26" s="87"/>
      <c r="C26" s="87"/>
      <c r="D26" s="87"/>
      <c r="F26" s="88"/>
    </row>
    <row r="27" spans="2:7" x14ac:dyDescent="0.3">
      <c r="B27" s="87" t="s">
        <v>14</v>
      </c>
      <c r="C27" s="87"/>
      <c r="D27" s="87"/>
      <c r="F27" s="143">
        <v>7.6200000000000004E-2</v>
      </c>
    </row>
    <row r="28" spans="2:7" x14ac:dyDescent="0.3">
      <c r="B28" s="87"/>
      <c r="C28" s="87"/>
      <c r="D28" s="87"/>
    </row>
    <row r="29" spans="2:7" x14ac:dyDescent="0.3">
      <c r="B29" s="85" t="s">
        <v>15</v>
      </c>
      <c r="C29" s="85"/>
      <c r="D29" s="85"/>
      <c r="F29" s="89">
        <f>ROUND(NPV(F27,F15:F24),0)</f>
        <v>6209</v>
      </c>
    </row>
    <row r="30" spans="2:7" x14ac:dyDescent="0.3">
      <c r="B30" s="87" t="s">
        <v>16</v>
      </c>
      <c r="C30" s="87"/>
      <c r="D30" s="90"/>
    </row>
    <row r="33" spans="1:1" x14ac:dyDescent="0.3">
      <c r="A33" s="1" t="s">
        <v>72</v>
      </c>
    </row>
    <row r="34" spans="1:1" x14ac:dyDescent="0.3">
      <c r="A34" s="1" t="s">
        <v>71</v>
      </c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F10 D13:E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"/>
  <sheetViews>
    <sheetView zoomScale="80" zoomScaleNormal="80" workbookViewId="0">
      <selection activeCell="F68" sqref="F68"/>
    </sheetView>
  </sheetViews>
  <sheetFormatPr defaultColWidth="9.109375" defaultRowHeight="14.4" x14ac:dyDescent="0.3"/>
  <cols>
    <col min="1" max="1" width="26.5546875" style="1" customWidth="1"/>
    <col min="2" max="16384" width="9.109375" style="1"/>
  </cols>
  <sheetData>
    <row r="1" spans="1:11" x14ac:dyDescent="0.3">
      <c r="A1" s="37" t="str">
        <f>'2021 Summary Schedule'!A1</f>
        <v>Columbia Gas of Kentucky, Inc.</v>
      </c>
      <c r="K1" s="45" t="s">
        <v>69</v>
      </c>
    </row>
    <row r="2" spans="1:11" x14ac:dyDescent="0.3">
      <c r="A2" s="37" t="str">
        <f>'2021 Summary Schedule'!A2</f>
        <v>Energy Efficiency/Conservation Program</v>
      </c>
    </row>
    <row r="3" spans="1:11" x14ac:dyDescent="0.3">
      <c r="A3" s="37" t="s">
        <v>68</v>
      </c>
    </row>
    <row r="5" spans="1:11" x14ac:dyDescent="0.3">
      <c r="B5" s="77">
        <v>2021</v>
      </c>
      <c r="C5" s="77">
        <v>2022</v>
      </c>
      <c r="D5" s="77">
        <v>2023</v>
      </c>
      <c r="E5" s="77">
        <v>2024</v>
      </c>
      <c r="F5" s="77">
        <v>2025</v>
      </c>
      <c r="G5" s="77">
        <v>2026</v>
      </c>
      <c r="H5" s="77">
        <v>2027</v>
      </c>
      <c r="I5" s="77">
        <v>2028</v>
      </c>
      <c r="J5" s="77">
        <v>2029</v>
      </c>
      <c r="K5" s="77">
        <v>2030</v>
      </c>
    </row>
    <row r="6" spans="1:11" x14ac:dyDescent="0.3">
      <c r="B6" s="48" t="s">
        <v>70</v>
      </c>
      <c r="C6" s="48" t="s">
        <v>70</v>
      </c>
      <c r="D6" s="48" t="s">
        <v>70</v>
      </c>
      <c r="E6" s="48" t="s">
        <v>70</v>
      </c>
      <c r="F6" s="48" t="s">
        <v>70</v>
      </c>
      <c r="G6" s="48" t="s">
        <v>70</v>
      </c>
      <c r="H6" s="48" t="s">
        <v>70</v>
      </c>
      <c r="I6" s="48" t="s">
        <v>70</v>
      </c>
      <c r="J6" s="48" t="s">
        <v>70</v>
      </c>
      <c r="K6" s="48" t="s">
        <v>70</v>
      </c>
    </row>
    <row r="7" spans="1:11" x14ac:dyDescent="0.3">
      <c r="A7" s="78" t="s">
        <v>75</v>
      </c>
      <c r="B7" s="144">
        <v>2.8050750859417408</v>
      </c>
      <c r="C7" s="144">
        <v>2.9181147096073823</v>
      </c>
      <c r="D7" s="144">
        <v>2.707005608829383</v>
      </c>
      <c r="E7" s="144">
        <v>2.5346408539895062</v>
      </c>
      <c r="F7" s="144">
        <v>2.6056848199746701</v>
      </c>
      <c r="G7" s="144">
        <v>2.6997747421747786</v>
      </c>
      <c r="H7" s="144">
        <v>2.7520725529220194</v>
      </c>
      <c r="I7" s="144">
        <v>2.8727248055002716</v>
      </c>
      <c r="J7" s="144">
        <v>2.9768690066944092</v>
      </c>
      <c r="K7" s="144">
        <v>3.0251085579880588</v>
      </c>
    </row>
    <row r="8" spans="1:11" ht="16.2" x14ac:dyDescent="0.45">
      <c r="A8" s="78" t="s">
        <v>76</v>
      </c>
      <c r="B8" s="145">
        <v>1.6681999999999999</v>
      </c>
      <c r="C8" s="145">
        <v>1.6681999999999999</v>
      </c>
      <c r="D8" s="145">
        <v>1.6681999999999999</v>
      </c>
      <c r="E8" s="145">
        <v>1.6681999999999999</v>
      </c>
      <c r="F8" s="145">
        <v>1.6681999999999999</v>
      </c>
      <c r="G8" s="145">
        <v>1.6681999999999999</v>
      </c>
      <c r="H8" s="145">
        <v>1.6681999999999999</v>
      </c>
      <c r="I8" s="145">
        <v>1.6681999999999999</v>
      </c>
      <c r="J8" s="145">
        <v>1.6681999999999999</v>
      </c>
      <c r="K8" s="145">
        <v>1.6681999999999999</v>
      </c>
    </row>
    <row r="9" spans="1:11" x14ac:dyDescent="0.3">
      <c r="A9" s="78" t="s">
        <v>1</v>
      </c>
      <c r="B9" s="79">
        <f t="shared" ref="B9:K9" si="0">SUM(B7:B8)</f>
        <v>4.4732750859417409</v>
      </c>
      <c r="C9" s="79">
        <f t="shared" si="0"/>
        <v>4.5863147096073824</v>
      </c>
      <c r="D9" s="79">
        <f t="shared" si="0"/>
        <v>4.3752056088293827</v>
      </c>
      <c r="E9" s="79">
        <f t="shared" si="0"/>
        <v>4.2028408539895059</v>
      </c>
      <c r="F9" s="79">
        <f t="shared" si="0"/>
        <v>4.2738848199746702</v>
      </c>
      <c r="G9" s="79">
        <f t="shared" si="0"/>
        <v>4.3679747421747788</v>
      </c>
      <c r="H9" s="79">
        <f t="shared" si="0"/>
        <v>4.420272552922019</v>
      </c>
      <c r="I9" s="79">
        <f t="shared" si="0"/>
        <v>4.5409248055002713</v>
      </c>
      <c r="J9" s="79">
        <f t="shared" si="0"/>
        <v>4.6450690066944089</v>
      </c>
      <c r="K9" s="79">
        <f t="shared" si="0"/>
        <v>4.6933085579880585</v>
      </c>
    </row>
    <row r="10" spans="1:11" x14ac:dyDescent="0.3">
      <c r="B10" s="79"/>
    </row>
    <row r="11" spans="1:11" x14ac:dyDescent="0.3">
      <c r="B11" s="79"/>
    </row>
    <row r="12" spans="1:11" x14ac:dyDescent="0.3">
      <c r="A12" s="64" t="s">
        <v>79</v>
      </c>
    </row>
    <row r="13" spans="1:11" x14ac:dyDescent="0.3">
      <c r="A13" s="113" t="s">
        <v>80</v>
      </c>
    </row>
    <row r="14" spans="1:11" x14ac:dyDescent="0.3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3">
      <c r="I15" s="17"/>
    </row>
    <row r="17" spans="2:11" x14ac:dyDescent="0.3"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2:11" x14ac:dyDescent="0.3">
      <c r="H18" s="17"/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2021 Summary Schedule</vt:lpstr>
      <vt:lpstr>Schedule A</vt:lpstr>
      <vt:lpstr>Schedule B</vt:lpstr>
      <vt:lpstr>Schedule C</vt:lpstr>
      <vt:lpstr>Schedule D</vt:lpstr>
      <vt:lpstr>'2021 Summary Schedule'!Print_Area</vt:lpstr>
      <vt:lpstr>'Schedule B'!Print_Area</vt:lpstr>
      <vt:lpstr>'Schedule D'!Print_Area</vt:lpstr>
      <vt:lpstr>'Schedule B'!Print_Titles</vt:lpstr>
    </vt:vector>
  </TitlesOfParts>
  <Company>Delta Natural Gas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Durr \ Evelyn \ L</cp:lastModifiedBy>
  <cp:lastPrinted>2018-12-10T18:08:01Z</cp:lastPrinted>
  <dcterms:created xsi:type="dcterms:W3CDTF">2007-01-02T16:46:53Z</dcterms:created>
  <dcterms:modified xsi:type="dcterms:W3CDTF">2021-12-21T20:48:24Z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