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660" activeTab="0"/>
  </bookViews>
  <sheets>
    <sheet name="Pole-IRD" sheetId="1" r:id="rId1"/>
    <sheet name="Conduit-IRD" sheetId="2" r:id="rId2"/>
    <sheet name="Input Financial Data-IRD" sheetId="3" r:id="rId3"/>
    <sheet name="Pole-MR" sheetId="4" r:id="rId4"/>
    <sheet name="Conduit-MR" sheetId="5" r:id="rId5"/>
    <sheet name="Input Financial Data-MR" sheetId="6" r:id="rId6"/>
  </sheets>
  <definedNames>
    <definedName name="_xlfn._FV" hidden="1">#NAME?</definedName>
    <definedName name="_xlfn.SUMIFS" hidden="1">#NAME?</definedName>
    <definedName name="_xlnm.Print_Area" localSheetId="1">'Conduit-IRD'!$A$1:$F$69</definedName>
    <definedName name="_xlnm.Print_Area" localSheetId="4">'Conduit-MR'!$A$1:$F$65</definedName>
    <definedName name="_xlnm.Print_Area" localSheetId="2">'Input Financial Data-IRD'!$A$1:$C$52</definedName>
    <definedName name="_xlnm.Print_Area" localSheetId="5">'Input Financial Data-MR'!$A$1:$C$52</definedName>
    <definedName name="_xlnm.Print_Area" localSheetId="0">'Pole-IRD'!$A$1:$F$75</definedName>
    <definedName name="_xlnm.Print_Area" localSheetId="3">'Pole-MR'!$A$1:$F$73</definedName>
  </definedNames>
  <calcPr fullCalcOnLoad="1"/>
</workbook>
</file>

<file path=xl/sharedStrings.xml><?xml version="1.0" encoding="utf-8"?>
<sst xmlns="http://schemas.openxmlformats.org/spreadsheetml/2006/main" count="406" uniqueCount="145">
  <si>
    <t>Source</t>
  </si>
  <si>
    <t>Telecommunications Plant in Service</t>
  </si>
  <si>
    <t>Table III Row 100</t>
  </si>
  <si>
    <t>Accumulated Depreciation - Total Plant in Service</t>
  </si>
  <si>
    <t>Table III Row 200</t>
  </si>
  <si>
    <t>Net Current Deferred Operating Income Taxes - Total</t>
  </si>
  <si>
    <t>Table III Row 403</t>
  </si>
  <si>
    <t>Net Non-Current Deferred Operating Income Taxes - Total</t>
  </si>
  <si>
    <t>Table III Row 406</t>
  </si>
  <si>
    <t>Net Investment Plant in Service</t>
  </si>
  <si>
    <t>Gross Investment - Poles</t>
  </si>
  <si>
    <t>Table III Row 101</t>
  </si>
  <si>
    <t>Accumulated Depreciation - Poles</t>
  </si>
  <si>
    <t>Table III Row 201</t>
  </si>
  <si>
    <t>Net Current Deferred Operating Income Taxes - Poles</t>
  </si>
  <si>
    <t>Table III Row 401</t>
  </si>
  <si>
    <t>Net Non-Current Deferred Operating Income Taxes - Poles</t>
  </si>
  <si>
    <t>Table III Row 404</t>
  </si>
  <si>
    <t>Depreciation Rates - Poles</t>
  </si>
  <si>
    <t>Table III Row 301</t>
  </si>
  <si>
    <t>General &amp; Administrative Expense</t>
  </si>
  <si>
    <t>Table III Row 503</t>
  </si>
  <si>
    <t>Operating Taxes</t>
  </si>
  <si>
    <t>Table III Row 504</t>
  </si>
  <si>
    <t>Table III Row 501.1</t>
  </si>
  <si>
    <t>Equivalent Number of Poles</t>
  </si>
  <si>
    <t>Table III Row 601</t>
  </si>
  <si>
    <t>Gross Investment - Conduit</t>
  </si>
  <si>
    <t>Accumulated Depreciation - Conduit</t>
  </si>
  <si>
    <t>Net Current Deferred Operating Income Taxes - Conduit</t>
  </si>
  <si>
    <t>Net Non-Current Deferred Operating Income Taxes - Conduit</t>
  </si>
  <si>
    <t>Depreciation Rates - Conduit</t>
  </si>
  <si>
    <t>Conduit System Duct Kilometers</t>
  </si>
  <si>
    <t>Conduit System Duct Feet</t>
  </si>
  <si>
    <t>Line #</t>
  </si>
  <si>
    <t>Description</t>
  </si>
  <si>
    <t>Space Factor (see section II below)</t>
  </si>
  <si>
    <t>Use Gross or Net? (If Net is negative, use gross)</t>
  </si>
  <si>
    <t>Cost per Bare Pole (see section III below)</t>
  </si>
  <si>
    <t>Carrying Charge Rate (see section IV below)</t>
  </si>
  <si>
    <t>II. Space Factor</t>
  </si>
  <si>
    <t>Space Occupied</t>
  </si>
  <si>
    <t>Usable Space</t>
  </si>
  <si>
    <t>Space Factor</t>
  </si>
  <si>
    <t>III. Cost Per Bare Pole</t>
  </si>
  <si>
    <t>Net Investment - Poles</t>
  </si>
  <si>
    <t>Appurtenance Factor</t>
  </si>
  <si>
    <t>Gross Cost Per Bare Pole</t>
  </si>
  <si>
    <t>Net Cost per Bare Pole</t>
  </si>
  <si>
    <t>IV. Carrying Charge Rate</t>
  </si>
  <si>
    <t>Total Carrying Charge Rate</t>
  </si>
  <si>
    <t>Investment - Total Plant in Service</t>
  </si>
  <si>
    <t>General &amp; Administrative Rate</t>
  </si>
  <si>
    <t>Maintenance Expense - Poles</t>
  </si>
  <si>
    <t>Investment - Poles</t>
  </si>
  <si>
    <t>Maintenance Rate</t>
  </si>
  <si>
    <t>Depreciation Rate for Rate Development</t>
  </si>
  <si>
    <t>Tax Rate</t>
  </si>
  <si>
    <t>Rate of Return (Cost of Capital)</t>
  </si>
  <si>
    <t>Rate of Return if Net Plant-Poles is negative</t>
  </si>
  <si>
    <t>V. Intermediate Calculations</t>
  </si>
  <si>
    <t>A1</t>
  </si>
  <si>
    <t>A2</t>
  </si>
  <si>
    <t>A3</t>
  </si>
  <si>
    <t>A4</t>
  </si>
  <si>
    <t>A5</t>
  </si>
  <si>
    <t>Cost per Conduit Duct Foot (see section III below)</t>
  </si>
  <si>
    <t>Carrying Charge Rate (see section III below)</t>
  </si>
  <si>
    <t>II. Cost per Conduit Duct Foot</t>
  </si>
  <si>
    <t>Net Investment - Conduit</t>
  </si>
  <si>
    <t>Gross Cost Per Duct Foot</t>
  </si>
  <si>
    <t>Net Cost per Duct Foot</t>
  </si>
  <si>
    <t>III. Carrying Charge Rate</t>
  </si>
  <si>
    <t>Maintenance Expense - Conduit</t>
  </si>
  <si>
    <t>Investment - Conduit</t>
  </si>
  <si>
    <t>Rate of Return if Net Plant-Conduit is negative</t>
  </si>
  <si>
    <t>IV. Intermediate Calculations</t>
  </si>
  <si>
    <t>Implementation Rate Difference</t>
  </si>
  <si>
    <t>Implementation Rate Difference - Inner Duct</t>
  </si>
  <si>
    <t>Implementation Rate Difference - Full Duct</t>
  </si>
  <si>
    <t>Table III Row 102</t>
  </si>
  <si>
    <t>Table III Row 202</t>
  </si>
  <si>
    <t>Table III Row 402</t>
  </si>
  <si>
    <t>Table III Row 405</t>
  </si>
  <si>
    <t>Table III Row 603</t>
  </si>
  <si>
    <t>Table III Row 502.1</t>
  </si>
  <si>
    <t>Table III Row 302</t>
  </si>
  <si>
    <t>I. Summary - Rate Development</t>
  </si>
  <si>
    <t>Pole and Conduit Rental Calculation Information</t>
  </si>
  <si>
    <t>(Dollars in thousands &amp; Operational Data in whole numbers)</t>
  </si>
  <si>
    <t>PERIOD:  From: Jan 2017 To: Dec 2017</t>
  </si>
  <si>
    <t>GAAP</t>
  </si>
  <si>
    <t>Page 1 of 1</t>
  </si>
  <si>
    <t>Row</t>
  </si>
  <si>
    <t>Row Title</t>
  </si>
  <si>
    <t>Amount</t>
  </si>
  <si>
    <t>(a)</t>
  </si>
  <si>
    <t>(b)</t>
  </si>
  <si>
    <t>Financial Information ($000)</t>
  </si>
  <si>
    <t xml:space="preserve">  Telecommunications Plant-in-Service</t>
  </si>
  <si>
    <t xml:space="preserve">  Gross Investment - Poles</t>
  </si>
  <si>
    <t xml:space="preserve">  Gross Investment - Conduit</t>
  </si>
  <si>
    <t xml:space="preserve">  Accumulated Depreciation - Total Plant-in-Service</t>
  </si>
  <si>
    <t xml:space="preserve">  Accumulated Depreciation - Poles</t>
  </si>
  <si>
    <t xml:space="preserve">  Accumulated Depreciation - Conduit</t>
  </si>
  <si>
    <t xml:space="preserve">  Depreciation Rate - Poles</t>
  </si>
  <si>
    <t xml:space="preserve">  Depreciation Rate - Conduit</t>
  </si>
  <si>
    <t xml:space="preserve">  Net Current Deferred Operating Income Taxes - Poles</t>
  </si>
  <si>
    <t xml:space="preserve">  Net Current Deferred Operating Income Taxes - Conduit</t>
  </si>
  <si>
    <t xml:space="preserve">  Net Current Deferred Operating Income Taxes - Total</t>
  </si>
  <si>
    <t xml:space="preserve">  Net Non-Current Deferred Operating Income Taxes - Poles</t>
  </si>
  <si>
    <t xml:space="preserve">  Net Non-Current Deferred Operating Income Taxes - Conduit</t>
  </si>
  <si>
    <t xml:space="preserve">  Net Non-Current Deferred Operating Income Taxes - Total</t>
  </si>
  <si>
    <t xml:space="preserve">  Pole Maintenance Expense</t>
  </si>
  <si>
    <t xml:space="preserve">  Pole Rental Expense</t>
  </si>
  <si>
    <t xml:space="preserve">  Pole Expense</t>
  </si>
  <si>
    <t xml:space="preserve">  Conduit Maintenance Expense</t>
  </si>
  <si>
    <t xml:space="preserve">  Conduit Rental Expense</t>
  </si>
  <si>
    <t xml:space="preserve">  Conduit Expense</t>
  </si>
  <si>
    <t xml:space="preserve">  General &amp; Administrative Expense</t>
  </si>
  <si>
    <t xml:space="preserve">  Operating Taxes</t>
  </si>
  <si>
    <t>Operational Data (Whole numbers)</t>
  </si>
  <si>
    <t xml:space="preserve">  Equivalent Number of Poles</t>
  </si>
  <si>
    <t xml:space="preserve">  Conduit System Trench Kilometers</t>
  </si>
  <si>
    <t xml:space="preserve">  Conduit System Duct Kilometers</t>
  </si>
  <si>
    <t xml:space="preserve">  Additional Rental Calculation Information</t>
  </si>
  <si>
    <t>N/A</t>
  </si>
  <si>
    <t>Computed 2019 GAAP based Full Duct Rate</t>
  </si>
  <si>
    <t>Computed 2019 GAAP based Inner Duct Rate</t>
  </si>
  <si>
    <t>Computed 2019 GAAP based Pole Attachment Rate</t>
  </si>
  <si>
    <t>Rate Delta</t>
  </si>
  <si>
    <r>
      <t xml:space="preserve">SUBMISSION: </t>
    </r>
    <r>
      <rPr>
        <b/>
        <sz val="10"/>
        <color indexed="10"/>
        <rFont val="Arial"/>
        <family val="2"/>
      </rPr>
      <t>NON-PUBLIC</t>
    </r>
  </si>
  <si>
    <t>Computed 2019 MR based Full Duct Rate</t>
  </si>
  <si>
    <t>Computed 2019 MR based Inner Duct Rate</t>
  </si>
  <si>
    <t>COMPANY:  AT&amp;T / BELLSOUTH CORPORATION</t>
  </si>
  <si>
    <t>STUDY AREA:  KENTUCKY</t>
  </si>
  <si>
    <t>COSA:  SCKY</t>
  </si>
  <si>
    <t>SUBMISSION: 3</t>
  </si>
  <si>
    <t>Kentucky Conduit Rate Development - IRD</t>
  </si>
  <si>
    <t>Kentucky Pole Attachment Rate Development - Rate Delta</t>
  </si>
  <si>
    <t>Kentucky Pole Attachment Rate Development - IRD</t>
  </si>
  <si>
    <t>Computed 2019 MR based Pole Attachment Rate</t>
  </si>
  <si>
    <t>see additional workpaper</t>
  </si>
  <si>
    <t>Basis of Carrying Charge Rate (Gross or Net)</t>
  </si>
  <si>
    <t>Default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</si>
</sst>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0.000%"/>
    <numFmt numFmtId="170" formatCode="0.0000%"/>
    <numFmt numFmtId="171" formatCode="0.00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0_);\(0\)"/>
    <numFmt numFmtId="178" formatCode="_(&quot;$&quot;* #,##0.0_);_(&quot;$&quot;* \(#,##0.0\);_(&quot;$&quot;* &quot;-&quot;??_);_(@_)"/>
    <numFmt numFmtId="179" formatCode="&quot;$&quot;#,##0.00"/>
    <numFmt numFmtId="180" formatCode="0.0"/>
    <numFmt numFmtId="181" formatCode="0.0000000"/>
    <numFmt numFmtId="182" formatCode="0.00000000"/>
    <numFmt numFmtId="183" formatCode="_(&quot;$&quot;* #,##0.000_);_(&quot;$&quot;* \(#,##0.000\);_(&quot;$&quot;* &quot;-&quot;??_);_(@_)"/>
    <numFmt numFmtId="184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0000FF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44" fontId="47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61" applyFont="1">
      <alignment/>
      <protection/>
    </xf>
    <xf numFmtId="10" fontId="0" fillId="0" borderId="0" xfId="65" applyNumberFormat="1" applyFont="1" applyBorder="1" applyAlignment="1">
      <alignment/>
    </xf>
    <xf numFmtId="176" fontId="0" fillId="0" borderId="0" xfId="49" applyNumberFormat="1" applyFont="1" applyFill="1" applyBorder="1" applyAlignment="1">
      <alignment/>
    </xf>
    <xf numFmtId="0" fontId="0" fillId="0" borderId="0" xfId="61" applyFill="1" applyBorder="1">
      <alignment/>
      <protection/>
    </xf>
    <xf numFmtId="176" fontId="0" fillId="0" borderId="0" xfId="0" applyNumberFormat="1" applyBorder="1" applyAlignment="1">
      <alignment/>
    </xf>
    <xf numFmtId="166" fontId="0" fillId="0" borderId="0" xfId="44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61" applyBorder="1">
      <alignment/>
      <protection/>
    </xf>
    <xf numFmtId="0" fontId="0" fillId="0" borderId="0" xfId="61" applyFont="1" applyFill="1" applyBorder="1">
      <alignment/>
      <protection/>
    </xf>
    <xf numFmtId="44" fontId="47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66" applyNumberFormat="1" applyFont="1" applyFill="1" applyBorder="1" applyAlignment="1">
      <alignment/>
    </xf>
    <xf numFmtId="10" fontId="0" fillId="0" borderId="0" xfId="65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48" fillId="0" borderId="0" xfId="0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9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8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5" fillId="0" borderId="0" xfId="0" applyFont="1" applyBorder="1" applyAlignment="1">
      <alignment/>
    </xf>
    <xf numFmtId="44" fontId="5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4" fontId="5" fillId="0" borderId="13" xfId="0" applyNumberFormat="1" applyFont="1" applyBorder="1" applyAlignment="1">
      <alignment/>
    </xf>
    <xf numFmtId="44" fontId="5" fillId="0" borderId="14" xfId="0" applyNumberFormat="1" applyFont="1" applyBorder="1" applyAlignment="1">
      <alignment/>
    </xf>
    <xf numFmtId="0" fontId="0" fillId="0" borderId="15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Fill="1" applyBorder="1" applyAlignment="1" quotePrefix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166" fontId="0" fillId="0" borderId="18" xfId="45" applyNumberFormat="1" applyFont="1" applyFill="1" applyBorder="1" applyAlignment="1">
      <alignment/>
    </xf>
    <xf numFmtId="166" fontId="0" fillId="0" borderId="15" xfId="45" applyNumberFormat="1" applyFont="1" applyFill="1" applyBorder="1" applyAlignment="1">
      <alignment/>
    </xf>
    <xf numFmtId="43" fontId="0" fillId="0" borderId="15" xfId="45" applyFont="1" applyFill="1" applyBorder="1" applyAlignment="1">
      <alignment/>
    </xf>
    <xf numFmtId="165" fontId="0" fillId="0" borderId="15" xfId="45" applyNumberFormat="1" applyFont="1" applyFill="1" applyBorder="1" applyAlignment="1">
      <alignment/>
    </xf>
    <xf numFmtId="166" fontId="0" fillId="0" borderId="15" xfId="45" applyNumberFormat="1" applyFont="1" applyFill="1" applyBorder="1" applyAlignment="1">
      <alignment/>
    </xf>
    <xf numFmtId="166" fontId="0" fillId="0" borderId="20" xfId="45" applyNumberFormat="1" applyFont="1" applyFill="1" applyBorder="1" applyAlignment="1">
      <alignment/>
    </xf>
    <xf numFmtId="166" fontId="0" fillId="0" borderId="18" xfId="45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5" xfId="45" applyNumberFormat="1" applyFont="1" applyFill="1" applyBorder="1" applyAlignment="1">
      <alignment/>
    </xf>
    <xf numFmtId="169" fontId="0" fillId="0" borderId="0" xfId="66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9" fillId="0" borderId="0" xfId="0" applyFont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1">
      <pane xSplit="2" topLeftCell="C1" activePane="topRight" state="frozen"/>
      <selection pane="topLeft" activeCell="B38" sqref="B38"/>
      <selection pane="topRight" activeCell="A3" sqref="A3:F3"/>
    </sheetView>
  </sheetViews>
  <sheetFormatPr defaultColWidth="9.140625" defaultRowHeight="12.75"/>
  <cols>
    <col min="1" max="1" width="7.57421875" style="0" customWidth="1"/>
    <col min="2" max="2" width="64.421875" style="0" bestFit="1" customWidth="1"/>
    <col min="3" max="3" width="5.421875" style="0" bestFit="1" customWidth="1"/>
    <col min="4" max="4" width="15.00390625" style="0" customWidth="1"/>
    <col min="5" max="5" width="3.57421875" style="0" customWidth="1"/>
    <col min="6" max="6" width="34.57421875" style="0" customWidth="1"/>
  </cols>
  <sheetData>
    <row r="1" spans="1:6" ht="15" customHeight="1">
      <c r="A1" s="86" t="s">
        <v>140</v>
      </c>
      <c r="B1" s="86"/>
      <c r="C1" s="86"/>
      <c r="D1" s="86"/>
      <c r="E1" s="86"/>
      <c r="F1" s="86"/>
    </row>
    <row r="2" spans="1:6" ht="15" customHeight="1">
      <c r="A2" s="87" t="s">
        <v>77</v>
      </c>
      <c r="B2" s="87"/>
      <c r="C2" s="87"/>
      <c r="D2" s="87"/>
      <c r="E2" s="87"/>
      <c r="F2" s="87"/>
    </row>
    <row r="3" spans="1:7" ht="12.75">
      <c r="A3" s="88"/>
      <c r="B3" s="88"/>
      <c r="C3" s="88"/>
      <c r="D3" s="88"/>
      <c r="E3" s="88"/>
      <c r="F3" s="88"/>
      <c r="G3" s="5"/>
    </row>
    <row r="4" ht="12.75">
      <c r="B4" s="5"/>
    </row>
    <row r="5" spans="1:6" ht="12.75">
      <c r="A5" s="39" t="s">
        <v>87</v>
      </c>
      <c r="B5" s="39"/>
      <c r="C5" s="39"/>
      <c r="D5" s="39"/>
      <c r="E5" s="39"/>
      <c r="F5" s="39"/>
    </row>
    <row r="6" spans="1:6" ht="12.75">
      <c r="A6" s="7" t="s">
        <v>34</v>
      </c>
      <c r="B6" s="8" t="s">
        <v>35</v>
      </c>
      <c r="C6" s="9"/>
      <c r="D6" s="7"/>
      <c r="E6" s="7"/>
      <c r="F6" s="8" t="s">
        <v>0</v>
      </c>
    </row>
    <row r="7" spans="1:6" ht="12.75">
      <c r="A7" s="10"/>
      <c r="B7" s="11"/>
      <c r="C7" s="12"/>
      <c r="D7" s="10"/>
      <c r="E7" s="10"/>
      <c r="F7" s="11"/>
    </row>
    <row r="8" spans="1:6" ht="12.75">
      <c r="A8" s="6">
        <v>1</v>
      </c>
      <c r="B8" s="13" t="s">
        <v>36</v>
      </c>
      <c r="C8" s="1"/>
      <c r="D8" s="14">
        <f>D24</f>
        <v>0.07593014426727411</v>
      </c>
      <c r="E8" s="14"/>
      <c r="F8" s="13" t="str">
        <f>+"["&amp;A24&amp;"]"</f>
        <v>[9]</v>
      </c>
    </row>
    <row r="9" spans="1:6" ht="12.75">
      <c r="A9" s="6"/>
      <c r="B9" s="13" t="s">
        <v>37</v>
      </c>
      <c r="C9" s="1"/>
      <c r="D9" s="15" t="str">
        <f>IF(D33&lt;0,"Gross","Net")</f>
        <v>Net</v>
      </c>
      <c r="E9" s="15"/>
      <c r="F9" s="13"/>
    </row>
    <row r="10" spans="1:6" ht="12.75">
      <c r="A10" s="6">
        <v>2</v>
      </c>
      <c r="B10" s="16" t="s">
        <v>38</v>
      </c>
      <c r="C10" s="1"/>
      <c r="D10" s="17">
        <f>IF(D33&lt;0,D38,D39)</f>
        <v>186.82994119036158</v>
      </c>
      <c r="E10" s="17"/>
      <c r="F10" s="13" t="str">
        <f>+"["&amp;A38&amp;"] or ["&amp;A39&amp;"]"</f>
        <v>[17] or [18]</v>
      </c>
    </row>
    <row r="11" spans="1:6" ht="12.75">
      <c r="A11" s="6">
        <v>3</v>
      </c>
      <c r="B11" s="13" t="s">
        <v>39</v>
      </c>
      <c r="C11" s="1"/>
      <c r="D11" s="14">
        <f>+D45</f>
        <v>0.17037813867708818</v>
      </c>
      <c r="E11" s="14"/>
      <c r="F11" s="13" t="str">
        <f>+"["&amp;A45&amp;"]"</f>
        <v>[19]</v>
      </c>
    </row>
    <row r="12" spans="1:6" ht="12.75">
      <c r="A12" s="6"/>
      <c r="B12" s="1"/>
      <c r="C12" s="1"/>
      <c r="D12" s="1"/>
      <c r="E12" s="1"/>
      <c r="F12" s="1"/>
    </row>
    <row r="13" spans="1:6" ht="12.75">
      <c r="A13" s="6">
        <v>4</v>
      </c>
      <c r="B13" s="16" t="s">
        <v>129</v>
      </c>
      <c r="C13" s="1"/>
      <c r="D13" s="17">
        <f>ROUND(D8*D10*D11,2)</f>
        <v>2.42</v>
      </c>
      <c r="E13" s="1"/>
      <c r="F13" s="13" t="str">
        <f>"["&amp;A8&amp;"] * ["&amp;A10&amp;"] * ["&amp;A11&amp;"]"</f>
        <v>[1] * [2] * [3]</v>
      </c>
    </row>
    <row r="14" spans="1:6" ht="12.75">
      <c r="A14" s="6"/>
      <c r="B14" s="1"/>
      <c r="C14" s="1"/>
      <c r="D14" s="1"/>
      <c r="E14" s="1"/>
      <c r="F14" s="1"/>
    </row>
    <row r="15" spans="1:6" ht="13.5" thickBot="1">
      <c r="A15" s="6">
        <v>5</v>
      </c>
      <c r="B15" s="16" t="s">
        <v>141</v>
      </c>
      <c r="C15" s="1"/>
      <c r="D15" s="17">
        <f>+'Pole-MR'!D13</f>
        <v>2.71</v>
      </c>
      <c r="E15" s="1"/>
      <c r="F15" s="1" t="s">
        <v>142</v>
      </c>
    </row>
    <row r="16" spans="1:6" ht="13.5" thickBot="1">
      <c r="A16" s="6">
        <v>6</v>
      </c>
      <c r="B16" s="43" t="s">
        <v>77</v>
      </c>
      <c r="C16" s="1"/>
      <c r="D16" s="44">
        <f>+D15-D13</f>
        <v>0.29000000000000004</v>
      </c>
      <c r="E16" s="17"/>
      <c r="F16" s="13" t="str">
        <f>"["&amp;A15&amp;"] - ["&amp;A13&amp;"]"</f>
        <v>[5] - [4]</v>
      </c>
    </row>
    <row r="17" spans="1:5" ht="12.75">
      <c r="A17" s="4"/>
      <c r="D17" s="38"/>
      <c r="E17" s="38"/>
    </row>
    <row r="18" spans="1:6" ht="12.75">
      <c r="A18" s="39" t="s">
        <v>40</v>
      </c>
      <c r="B18" s="40"/>
      <c r="C18" s="40"/>
      <c r="D18" s="40"/>
      <c r="E18" s="40"/>
      <c r="F18" s="40"/>
    </row>
    <row r="19" spans="1:6" ht="12.75">
      <c r="A19" s="7" t="s">
        <v>34</v>
      </c>
      <c r="B19" s="8" t="s">
        <v>35</v>
      </c>
      <c r="C19" s="9"/>
      <c r="D19" s="7"/>
      <c r="E19" s="7"/>
      <c r="F19" s="8" t="s">
        <v>0</v>
      </c>
    </row>
    <row r="20" spans="1:6" ht="12.75">
      <c r="A20" s="10"/>
      <c r="B20" s="11"/>
      <c r="C20" s="12"/>
      <c r="D20" s="10"/>
      <c r="E20" s="10"/>
      <c r="F20" s="11"/>
    </row>
    <row r="21" spans="1:6" ht="12.75">
      <c r="A21" s="6">
        <f>+MAX(A7:A20)+1</f>
        <v>7</v>
      </c>
      <c r="B21" s="13" t="s">
        <v>41</v>
      </c>
      <c r="C21" s="1"/>
      <c r="D21" s="41">
        <v>1</v>
      </c>
      <c r="E21" s="18"/>
      <c r="F21" s="19" t="s">
        <v>144</v>
      </c>
    </row>
    <row r="22" spans="1:6" ht="12.75">
      <c r="A22" s="6">
        <f>+MAX(A8:A21)+1</f>
        <v>8</v>
      </c>
      <c r="B22" s="13" t="s">
        <v>42</v>
      </c>
      <c r="C22" s="1"/>
      <c r="D22" s="42">
        <v>13.17</v>
      </c>
      <c r="E22" s="18"/>
      <c r="F22" s="19" t="s">
        <v>144</v>
      </c>
    </row>
    <row r="23" spans="1:6" ht="12.75">
      <c r="A23" s="6"/>
      <c r="B23" s="1"/>
      <c r="C23" s="1"/>
      <c r="D23" s="1"/>
      <c r="E23" s="1"/>
      <c r="F23" s="1"/>
    </row>
    <row r="24" spans="1:6" ht="12.75">
      <c r="A24" s="6">
        <f>+MAX(A10:A23)+1</f>
        <v>9</v>
      </c>
      <c r="B24" s="13" t="s">
        <v>43</v>
      </c>
      <c r="C24" s="1"/>
      <c r="D24" s="20">
        <f>D21/D22</f>
        <v>0.07593014426727411</v>
      </c>
      <c r="E24" s="20"/>
      <c r="F24" s="13" t="str">
        <f>" ["&amp;A21&amp;"] / ["&amp;A22&amp;"]"</f>
        <v> [7] / [8]</v>
      </c>
    </row>
    <row r="25" ht="12.75">
      <c r="A25" s="4"/>
    </row>
    <row r="26" spans="1:6" ht="12.75">
      <c r="A26" s="39" t="s">
        <v>44</v>
      </c>
      <c r="B26" s="39"/>
      <c r="C26" s="39"/>
      <c r="D26" s="39"/>
      <c r="E26" s="39"/>
      <c r="F26" s="39"/>
    </row>
    <row r="27" spans="1:6" ht="12.75">
      <c r="A27" s="7" t="s">
        <v>34</v>
      </c>
      <c r="B27" s="8" t="s">
        <v>35</v>
      </c>
      <c r="C27" s="9"/>
      <c r="D27" s="7"/>
      <c r="E27" s="7"/>
      <c r="F27" s="8" t="s">
        <v>0</v>
      </c>
    </row>
    <row r="28" spans="1:6" ht="12.75">
      <c r="A28" s="10"/>
      <c r="B28" s="11"/>
      <c r="C28" s="12"/>
      <c r="D28" s="10"/>
      <c r="E28" s="10"/>
      <c r="F28" s="11"/>
    </row>
    <row r="29" spans="1:6" ht="12.75">
      <c r="A29" s="6">
        <f>+MAX(A15:A28)+1</f>
        <v>10</v>
      </c>
      <c r="B29" s="13" t="s">
        <v>10</v>
      </c>
      <c r="C29" s="1"/>
      <c r="D29" s="21">
        <f>+'Input Financial Data-IRD'!C16</f>
        <v>116422</v>
      </c>
      <c r="E29" s="21"/>
      <c r="F29" s="22" t="s">
        <v>11</v>
      </c>
    </row>
    <row r="30" spans="1:6" ht="12.75">
      <c r="A30" s="6">
        <f>+MAX(A16:A29)+1</f>
        <v>11</v>
      </c>
      <c r="B30" s="16" t="s">
        <v>12</v>
      </c>
      <c r="C30" s="1"/>
      <c r="D30" s="21">
        <f>+'Input Financial Data-IRD'!C20</f>
        <v>44709</v>
      </c>
      <c r="E30" s="21"/>
      <c r="F30" s="22" t="s">
        <v>13</v>
      </c>
    </row>
    <row r="31" spans="1:6" ht="12.75">
      <c r="A31" s="6">
        <f>+MAX(A17:A30)+1</f>
        <v>12</v>
      </c>
      <c r="B31" s="22" t="s">
        <v>14</v>
      </c>
      <c r="C31" s="1"/>
      <c r="D31" s="21">
        <f>+'Input Financial Data-IRD'!C26</f>
        <v>0</v>
      </c>
      <c r="E31" s="21"/>
      <c r="F31" s="22" t="s">
        <v>15</v>
      </c>
    </row>
    <row r="32" spans="1:6" ht="12.75">
      <c r="A32" s="6">
        <f>+MAX(A18:A31)+1</f>
        <v>13</v>
      </c>
      <c r="B32" s="22" t="s">
        <v>16</v>
      </c>
      <c r="C32" s="1"/>
      <c r="D32" s="21">
        <f>+'Input Financial Data-IRD'!C30</f>
        <v>8586.112818216667</v>
      </c>
      <c r="E32" s="21"/>
      <c r="F32" s="22" t="s">
        <v>17</v>
      </c>
    </row>
    <row r="33" spans="1:6" ht="12.75">
      <c r="A33" s="6">
        <f>+MAX(A19:A32)+1</f>
        <v>14</v>
      </c>
      <c r="B33" s="16" t="s">
        <v>45</v>
      </c>
      <c r="C33" s="1"/>
      <c r="D33" s="23">
        <f>D29-D30-D31-D32</f>
        <v>63126.887181783335</v>
      </c>
      <c r="E33" s="23"/>
      <c r="F33" s="22" t="str">
        <f>"["&amp;A29&amp;"] - { ["&amp;A30&amp;"] + ["&amp;A31&amp;"] + ["&amp;A32&amp;"] }"</f>
        <v>[10] - { [11] + [12] + [13] }</v>
      </c>
    </row>
    <row r="34" spans="1:5" ht="12.75">
      <c r="A34" s="6"/>
      <c r="B34" s="2"/>
      <c r="C34" s="1"/>
      <c r="D34" s="1"/>
      <c r="E34" s="1"/>
    </row>
    <row r="35" spans="1:6" ht="12.75">
      <c r="A35" s="6">
        <f>+MAX(A21:A34)+1</f>
        <v>15</v>
      </c>
      <c r="B35" s="22" t="s">
        <v>25</v>
      </c>
      <c r="C35" s="1"/>
      <c r="D35" s="21">
        <f>+'Input Financial Data-IRD'!C47</f>
        <v>320990</v>
      </c>
      <c r="E35" s="24"/>
      <c r="F35" s="22" t="s">
        <v>26</v>
      </c>
    </row>
    <row r="36" spans="1:6" ht="12.75">
      <c r="A36" s="6">
        <f>+MAX(A22:A35)+1</f>
        <v>16</v>
      </c>
      <c r="B36" s="22" t="s">
        <v>46</v>
      </c>
      <c r="C36" s="1"/>
      <c r="D36" s="42">
        <v>0.95</v>
      </c>
      <c r="E36" s="25"/>
      <c r="F36" s="19" t="s">
        <v>144</v>
      </c>
    </row>
    <row r="37" spans="1:6" ht="12.75">
      <c r="A37" s="6"/>
      <c r="B37" s="1"/>
      <c r="C37" s="1"/>
      <c r="D37" s="1"/>
      <c r="E37" s="1"/>
      <c r="F37" s="26"/>
    </row>
    <row r="38" spans="1:6" ht="12.75">
      <c r="A38" s="6">
        <f>+MAX(A24:A37)+1</f>
        <v>17</v>
      </c>
      <c r="B38" s="13" t="s">
        <v>47</v>
      </c>
      <c r="C38" s="1"/>
      <c r="D38" s="17">
        <f>D29/D35*D36*1000</f>
        <v>344.5618243558989</v>
      </c>
      <c r="E38" s="17"/>
      <c r="F38" s="27" t="str">
        <f>"["&amp;A29&amp;"] / ["&amp;A35&amp;"] * ["&amp;A36&amp;"] * 1000"</f>
        <v>[10] / [15] * [16] * 1000</v>
      </c>
    </row>
    <row r="39" spans="1:6" ht="12.75">
      <c r="A39" s="6">
        <f>+MAX(A25:A38)+1</f>
        <v>18</v>
      </c>
      <c r="B39" s="16" t="s">
        <v>48</v>
      </c>
      <c r="C39" s="1"/>
      <c r="D39" s="17">
        <f>+D33/D35*D36*1000</f>
        <v>186.82994119036158</v>
      </c>
      <c r="E39" s="17"/>
      <c r="F39" s="27" t="str">
        <f>"["&amp;A33&amp;"] / ["&amp;A35&amp;"] * ["&amp;A36&amp;"] * 1000"</f>
        <v>[14] / [15] * [16] * 1000</v>
      </c>
    </row>
    <row r="40" spans="1:6" ht="25.5">
      <c r="A40" s="6"/>
      <c r="B40" s="16" t="s">
        <v>37</v>
      </c>
      <c r="C40" s="1"/>
      <c r="D40" s="28" t="str">
        <f>IF(D39&lt;0,$B$38,$B$39)</f>
        <v>Net Cost per Bare Pole</v>
      </c>
      <c r="E40" s="28"/>
      <c r="F40" s="27"/>
    </row>
    <row r="41" spans="1:6" ht="12.75">
      <c r="A41" s="29"/>
      <c r="F41" s="13"/>
    </row>
    <row r="42" spans="1:6" ht="12.75">
      <c r="A42" s="39" t="s">
        <v>49</v>
      </c>
      <c r="B42" s="39"/>
      <c r="C42" s="39"/>
      <c r="D42" s="39"/>
      <c r="E42" s="39"/>
      <c r="F42" s="39"/>
    </row>
    <row r="43" spans="1:6" ht="12.75">
      <c r="A43" s="7" t="s">
        <v>34</v>
      </c>
      <c r="B43" s="8" t="s">
        <v>35</v>
      </c>
      <c r="C43" s="9"/>
      <c r="D43" s="7"/>
      <c r="E43" s="7"/>
      <c r="F43" s="8" t="s">
        <v>0</v>
      </c>
    </row>
    <row r="44" spans="1:6" ht="12.75">
      <c r="A44" s="10"/>
      <c r="B44" s="11" t="s">
        <v>143</v>
      </c>
      <c r="C44" s="12"/>
      <c r="D44" s="30" t="str">
        <f>+IF(D33&lt;0,"Gross","Net")</f>
        <v>Net</v>
      </c>
      <c r="E44" s="30"/>
      <c r="F44" s="11"/>
    </row>
    <row r="45" spans="1:6" ht="12.75">
      <c r="A45" s="6">
        <f>+MAX(A31:A44)+1</f>
        <v>19</v>
      </c>
      <c r="B45" s="13" t="s">
        <v>50</v>
      </c>
      <c r="C45" s="1"/>
      <c r="D45" s="14">
        <f>D49+D53+D58+D62+IF(D33&lt;0,D65,D64)</f>
        <v>0.17037813867708818</v>
      </c>
      <c r="E45" s="14"/>
      <c r="F45" s="13" t="str">
        <f>+"["&amp;A49&amp;"] + ["&amp;A53&amp;"] + ["&amp;A58&amp;"] + ["&amp;A62&amp;"] + {["&amp;A64&amp;"] or ["&amp;A65&amp;"]}"</f>
        <v>[22] + [25] + [29] + [32] + {[33] or [34]}</v>
      </c>
    </row>
    <row r="46" spans="1:6" ht="12.75">
      <c r="A46" s="31"/>
      <c r="B46" s="13"/>
      <c r="C46" s="1"/>
      <c r="D46" s="1"/>
      <c r="E46" s="1"/>
      <c r="F46" s="13"/>
    </row>
    <row r="47" spans="1:6" ht="12.75">
      <c r="A47" s="6">
        <f>+MAX(A33:A46)+1</f>
        <v>20</v>
      </c>
      <c r="B47" s="26" t="s">
        <v>20</v>
      </c>
      <c r="C47" s="1"/>
      <c r="D47" s="21">
        <f>+'Input Financial Data-IRD'!C42</f>
        <v>72644</v>
      </c>
      <c r="E47" s="21"/>
      <c r="F47" s="22" t="s">
        <v>21</v>
      </c>
    </row>
    <row r="48" spans="1:6" ht="12.75">
      <c r="A48" s="6">
        <f>+MAX(A34:A47)+1</f>
        <v>21</v>
      </c>
      <c r="B48" s="22" t="s">
        <v>51</v>
      </c>
      <c r="C48" s="1"/>
      <c r="D48" s="23">
        <f>IF(D33&lt;0,D71,D75)</f>
        <v>867187</v>
      </c>
      <c r="E48" s="23"/>
      <c r="F48" s="13" t="str">
        <f>+"["&amp;A71&amp;"] or ["&amp;A75&amp;"]"</f>
        <v>[A1] or [A5]</v>
      </c>
    </row>
    <row r="49" spans="1:6" ht="12.75">
      <c r="A49" s="6">
        <f>+MAX(A35:A48)+1</f>
        <v>22</v>
      </c>
      <c r="B49" s="27" t="s">
        <v>52</v>
      </c>
      <c r="C49" s="1"/>
      <c r="D49" s="20">
        <f>D47/D48</f>
        <v>0.08376970595730794</v>
      </c>
      <c r="E49" s="20"/>
      <c r="F49" s="13" t="str">
        <f>"["&amp;A47&amp;"] / ["&amp;A48&amp;"]"</f>
        <v>[20] / [21]</v>
      </c>
    </row>
    <row r="50" spans="1:6" ht="12.75">
      <c r="A50" s="6"/>
      <c r="B50" s="2"/>
      <c r="C50" s="1"/>
      <c r="D50" s="1"/>
      <c r="E50" s="1"/>
      <c r="F50" s="1"/>
    </row>
    <row r="51" spans="1:6" ht="12.75">
      <c r="A51" s="6">
        <f>+MAX(A37:A50)+1</f>
        <v>23</v>
      </c>
      <c r="B51" s="16" t="s">
        <v>53</v>
      </c>
      <c r="C51" s="1"/>
      <c r="D51" s="21">
        <f>+'Input Financial Data-IRD'!C34</f>
        <v>2852</v>
      </c>
      <c r="E51" s="21"/>
      <c r="F51" s="22" t="s">
        <v>24</v>
      </c>
    </row>
    <row r="52" spans="1:6" ht="12.75">
      <c r="A52" s="6">
        <f>+MAX(A38:A51)+1</f>
        <v>24</v>
      </c>
      <c r="B52" s="16" t="s">
        <v>54</v>
      </c>
      <c r="C52" s="1"/>
      <c r="D52" s="23">
        <f>IF(D33&lt;0,D29,D33)</f>
        <v>63126.887181783335</v>
      </c>
      <c r="E52" s="23"/>
      <c r="F52" s="16" t="str">
        <f>+"["&amp;A29&amp;"] or ["&amp;A33&amp;"]"</f>
        <v>[10] or [14]</v>
      </c>
    </row>
    <row r="53" spans="1:6" ht="12.75">
      <c r="A53" s="6">
        <f>+MAX(A39:A52)+1</f>
        <v>25</v>
      </c>
      <c r="B53" s="16" t="s">
        <v>55</v>
      </c>
      <c r="C53" s="1"/>
      <c r="D53" s="20">
        <f>D51/D52</f>
        <v>0.04517884735528363</v>
      </c>
      <c r="E53" s="20"/>
      <c r="F53" s="13" t="str">
        <f>"["&amp;A51&amp;"] / ["&amp;A52&amp;"]"</f>
        <v>[23] / [24]</v>
      </c>
    </row>
    <row r="54" spans="1:6" ht="12.75">
      <c r="A54" s="6"/>
      <c r="B54" s="1"/>
      <c r="C54" s="1"/>
      <c r="D54" s="1"/>
      <c r="E54" s="1"/>
      <c r="F54" s="1"/>
    </row>
    <row r="55" spans="1:6" ht="12.75">
      <c r="A55" s="6">
        <f>+MAX(A41:A54)+1</f>
        <v>26</v>
      </c>
      <c r="B55" s="26" t="s">
        <v>18</v>
      </c>
      <c r="C55" s="1"/>
      <c r="D55" s="32">
        <f>+'Input Financial Data-IRD'!C23/100</f>
        <v>0.0385</v>
      </c>
      <c r="E55" s="32"/>
      <c r="F55" s="26" t="s">
        <v>19</v>
      </c>
    </row>
    <row r="56" spans="1:6" ht="12.75">
      <c r="A56" s="6">
        <f>+MAX(A42:A55)+1</f>
        <v>27</v>
      </c>
      <c r="B56" s="26" t="s">
        <v>10</v>
      </c>
      <c r="C56" s="1"/>
      <c r="D56" s="23">
        <f>D29</f>
        <v>116422</v>
      </c>
      <c r="E56" s="23"/>
      <c r="F56" s="13" t="str">
        <f>+"["&amp;A29&amp;"]"</f>
        <v>[10]</v>
      </c>
    </row>
    <row r="57" spans="1:6" ht="12.75">
      <c r="A57" s="6">
        <f>+MAX(A43:A56)+1</f>
        <v>28</v>
      </c>
      <c r="B57" s="26" t="s">
        <v>45</v>
      </c>
      <c r="C57" s="1"/>
      <c r="D57" s="23">
        <f>+D33</f>
        <v>63126.887181783335</v>
      </c>
      <c r="E57" s="23"/>
      <c r="F57" s="13" t="str">
        <f>+"["&amp;A33&amp;"]"</f>
        <v>[14]</v>
      </c>
    </row>
    <row r="58" spans="1:6" ht="12.75">
      <c r="A58" s="6">
        <f>+MAX(A44:A57)+1</f>
        <v>29</v>
      </c>
      <c r="B58" s="22" t="s">
        <v>56</v>
      </c>
      <c r="C58" s="1"/>
      <c r="D58" s="20">
        <f>MAX(D55,D55*(D56/D57))</f>
        <v>0.07100377034420687</v>
      </c>
      <c r="E58" s="20"/>
      <c r="F58" s="13" t="str">
        <f>"Max({["&amp;A55&amp;"] * ["&amp;A56&amp;"] / ["&amp;A57&amp;"]} and ["&amp;A55&amp;"])"</f>
        <v>Max({[26] * [27] / [28]} and [26])</v>
      </c>
    </row>
    <row r="59" spans="1:6" ht="12.75">
      <c r="A59" s="6"/>
      <c r="B59" s="1"/>
      <c r="C59" s="1"/>
      <c r="D59" s="1"/>
      <c r="E59" s="1"/>
      <c r="F59" s="1"/>
    </row>
    <row r="60" spans="1:6" ht="12.75">
      <c r="A60" s="6">
        <f>+MAX(A46:A59)+1</f>
        <v>30</v>
      </c>
      <c r="B60" s="13" t="s">
        <v>22</v>
      </c>
      <c r="C60" s="1"/>
      <c r="D60" s="21">
        <f>+'Input Financial Data-IRD'!C43</f>
        <v>-115617</v>
      </c>
      <c r="E60" s="21"/>
      <c r="F60" s="22" t="s">
        <v>23</v>
      </c>
    </row>
    <row r="61" spans="1:6" ht="12.75">
      <c r="A61" s="6">
        <f>+MAX(A47:A60)+1</f>
        <v>31</v>
      </c>
      <c r="B61" s="26" t="str">
        <f>+B48</f>
        <v>Investment - Total Plant in Service</v>
      </c>
      <c r="C61" s="1"/>
      <c r="D61" s="23">
        <f>+D48</f>
        <v>867187</v>
      </c>
      <c r="E61" s="23"/>
      <c r="F61" s="13" t="str">
        <f>+"["&amp;A71&amp;"] or ["&amp;A75&amp;"]"</f>
        <v>[A1] or [A5]</v>
      </c>
    </row>
    <row r="62" spans="1:6" ht="12.75">
      <c r="A62" s="6">
        <f>+MAX(A48:A61)+1</f>
        <v>32</v>
      </c>
      <c r="B62" s="13" t="s">
        <v>57</v>
      </c>
      <c r="C62" s="1"/>
      <c r="D62" s="20">
        <f>D60/D61</f>
        <v>-0.13332418497971027</v>
      </c>
      <c r="E62" s="20"/>
      <c r="F62" s="13" t="str">
        <f>"["&amp;A60&amp;"] / ["&amp;A61&amp;"]"</f>
        <v>[30] / [31]</v>
      </c>
    </row>
    <row r="63" spans="1:6" ht="12.75">
      <c r="A63" s="6"/>
      <c r="B63" s="1"/>
      <c r="C63" s="1"/>
      <c r="D63" s="1"/>
      <c r="E63" s="1"/>
      <c r="F63" s="1"/>
    </row>
    <row r="64" spans="1:6" ht="12.75">
      <c r="A64" s="6">
        <f>+MAX(A50:A63)+1</f>
        <v>33</v>
      </c>
      <c r="B64" s="27" t="s">
        <v>58</v>
      </c>
      <c r="C64" s="1"/>
      <c r="D64" s="83">
        <v>0.10375</v>
      </c>
      <c r="E64" s="32"/>
      <c r="F64" s="19" t="s">
        <v>144</v>
      </c>
    </row>
    <row r="65" spans="1:6" ht="12.75">
      <c r="A65" s="6">
        <f>+MAX(A51:A64)+1</f>
        <v>34</v>
      </c>
      <c r="B65" s="27" t="s">
        <v>59</v>
      </c>
      <c r="C65" s="1"/>
      <c r="D65" s="33" t="str">
        <f>IF(D33&lt;0,MAX(D64*D33/D29,-D64),"N/A")</f>
        <v>N/A</v>
      </c>
      <c r="E65" s="33"/>
      <c r="F65" s="13" t="str">
        <f>"Max({["&amp;A64&amp;"] * ["&amp;A33&amp;"] / ["&amp;A29&amp;"]} and -["&amp;A64&amp;"])"</f>
        <v>Max({[33] * [14] / [10]} and -[33])</v>
      </c>
    </row>
    <row r="66" spans="1:6" ht="12.75">
      <c r="A66" s="4"/>
      <c r="B66" s="3"/>
      <c r="D66" s="34"/>
      <c r="E66" s="34"/>
      <c r="F66" s="3"/>
    </row>
    <row r="67" spans="1:6" ht="12.75">
      <c r="A67" s="39" t="s">
        <v>60</v>
      </c>
      <c r="B67" s="39"/>
      <c r="C67" s="39"/>
      <c r="D67" s="39"/>
      <c r="E67" s="39"/>
      <c r="F67" s="39"/>
    </row>
    <row r="68" spans="1:6" ht="12.75">
      <c r="A68" s="7" t="s">
        <v>34</v>
      </c>
      <c r="B68" s="8" t="s">
        <v>35</v>
      </c>
      <c r="C68" s="9"/>
      <c r="D68" s="8"/>
      <c r="E68" s="8"/>
      <c r="F68" s="8" t="s">
        <v>0</v>
      </c>
    </row>
    <row r="69" spans="1:6" ht="12.75">
      <c r="A69" s="10"/>
      <c r="B69" s="11"/>
      <c r="C69" s="12"/>
      <c r="D69" s="11"/>
      <c r="E69" s="11"/>
      <c r="F69" s="11"/>
    </row>
    <row r="70" spans="1:6" ht="12.75">
      <c r="A70" s="6"/>
      <c r="B70" s="35"/>
      <c r="C70" s="1"/>
      <c r="D70" s="1"/>
      <c r="E70" s="1"/>
      <c r="F70" s="1"/>
    </row>
    <row r="71" spans="1:6" ht="12.75">
      <c r="A71" s="31" t="s">
        <v>61</v>
      </c>
      <c r="B71" s="26" t="s">
        <v>1</v>
      </c>
      <c r="C71" s="1"/>
      <c r="D71" s="21">
        <f>+'Input Financial Data-IRD'!C15</f>
        <v>1893914</v>
      </c>
      <c r="E71" s="21"/>
      <c r="F71" s="22" t="s">
        <v>2</v>
      </c>
    </row>
    <row r="72" spans="1:6" ht="12.75">
      <c r="A72" s="31" t="s">
        <v>62</v>
      </c>
      <c r="B72" s="26" t="s">
        <v>3</v>
      </c>
      <c r="C72" s="1"/>
      <c r="D72" s="21">
        <f>+'Input Financial Data-IRD'!C19</f>
        <v>887051</v>
      </c>
      <c r="E72" s="21"/>
      <c r="F72" s="22" t="s">
        <v>4</v>
      </c>
    </row>
    <row r="73" spans="1:6" ht="12.75">
      <c r="A73" s="31" t="s">
        <v>63</v>
      </c>
      <c r="B73" s="26" t="s">
        <v>5</v>
      </c>
      <c r="C73" s="1"/>
      <c r="D73" s="21">
        <f>+'Input Financial Data-IRD'!C28</f>
        <v>0</v>
      </c>
      <c r="E73" s="21"/>
      <c r="F73" s="22" t="s">
        <v>6</v>
      </c>
    </row>
    <row r="74" spans="1:6" ht="12.75">
      <c r="A74" s="31" t="s">
        <v>64</v>
      </c>
      <c r="B74" s="26" t="s">
        <v>7</v>
      </c>
      <c r="C74" s="1"/>
      <c r="D74" s="21">
        <f>+'Input Financial Data-IRD'!C32</f>
        <v>139676</v>
      </c>
      <c r="E74" s="21"/>
      <c r="F74" s="22" t="s">
        <v>8</v>
      </c>
    </row>
    <row r="75" spans="1:6" ht="12.75">
      <c r="A75" s="31" t="s">
        <v>65</v>
      </c>
      <c r="B75" s="26" t="s">
        <v>9</v>
      </c>
      <c r="C75" s="1"/>
      <c r="D75" s="36">
        <f>+D71-D72-D73-D74</f>
        <v>867187</v>
      </c>
      <c r="E75" s="36"/>
      <c r="F75" s="22" t="str">
        <f>"["&amp;A71&amp;"] - { ["&amp;A72&amp;"] + ["&amp;A73&amp;"] + ["&amp;A74&amp;"]}"</f>
        <v>[A1] - { [A2] + [A3] + [A4]}</v>
      </c>
    </row>
    <row r="76" ht="12.75">
      <c r="A76" s="37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1">
      <pane xSplit="2" topLeftCell="C1" activePane="topRight" state="frozen"/>
      <selection pane="topLeft" activeCell="F37" sqref="F37"/>
      <selection pane="topRight" activeCell="A3" sqref="A3:F3"/>
    </sheetView>
  </sheetViews>
  <sheetFormatPr defaultColWidth="9.140625" defaultRowHeight="12.75"/>
  <cols>
    <col min="1" max="1" width="7.57421875" style="0" customWidth="1"/>
    <col min="2" max="2" width="64.421875" style="0" bestFit="1" customWidth="1"/>
    <col min="3" max="3" width="5.421875" style="0" bestFit="1" customWidth="1"/>
    <col min="4" max="4" width="15.00390625" style="0" customWidth="1"/>
    <col min="5" max="5" width="3.57421875" style="0" customWidth="1"/>
    <col min="6" max="6" width="34.57421875" style="0" customWidth="1"/>
  </cols>
  <sheetData>
    <row r="1" spans="1:6" ht="15">
      <c r="A1" s="86" t="s">
        <v>138</v>
      </c>
      <c r="B1" s="86"/>
      <c r="C1" s="86"/>
      <c r="D1" s="86"/>
      <c r="E1" s="86"/>
      <c r="F1" s="86"/>
    </row>
    <row r="2" spans="1:6" ht="15">
      <c r="A2" s="87" t="s">
        <v>77</v>
      </c>
      <c r="B2" s="87"/>
      <c r="C2" s="87"/>
      <c r="D2" s="87"/>
      <c r="E2" s="87"/>
      <c r="F2" s="87"/>
    </row>
    <row r="3" spans="1:7" ht="12.75">
      <c r="A3" s="89"/>
      <c r="B3" s="89"/>
      <c r="C3" s="89"/>
      <c r="D3" s="89"/>
      <c r="E3" s="89"/>
      <c r="F3" s="89"/>
      <c r="G3" s="5"/>
    </row>
    <row r="4" ht="12.75">
      <c r="B4" s="5"/>
    </row>
    <row r="5" spans="1:6" ht="12.75">
      <c r="A5" s="39" t="s">
        <v>87</v>
      </c>
      <c r="B5" s="39"/>
      <c r="C5" s="39"/>
      <c r="D5" s="39"/>
      <c r="E5" s="39"/>
      <c r="F5" s="39"/>
    </row>
    <row r="6" spans="1:6" ht="12.75">
      <c r="A6" s="7" t="s">
        <v>34</v>
      </c>
      <c r="B6" s="8" t="s">
        <v>35</v>
      </c>
      <c r="C6" s="9"/>
      <c r="D6" s="7"/>
      <c r="E6" s="7"/>
      <c r="F6" s="8" t="s">
        <v>0</v>
      </c>
    </row>
    <row r="7" spans="1:6" ht="12.75">
      <c r="A7" s="10"/>
      <c r="B7" s="11"/>
      <c r="C7" s="12"/>
      <c r="D7" s="10"/>
      <c r="E7" s="10"/>
      <c r="F7" s="11"/>
    </row>
    <row r="8" spans="1:6" ht="12.75">
      <c r="A8" s="6"/>
      <c r="B8" s="16" t="s">
        <v>37</v>
      </c>
      <c r="C8" s="1"/>
      <c r="D8" s="15" t="str">
        <f>IF(D27&lt;0,"Gross","Net")</f>
        <v>Net</v>
      </c>
      <c r="E8" s="15"/>
      <c r="F8" s="13"/>
    </row>
    <row r="9" spans="1:6" ht="12.75">
      <c r="A9" s="6">
        <v>1</v>
      </c>
      <c r="B9" s="16" t="s">
        <v>66</v>
      </c>
      <c r="C9" s="1"/>
      <c r="D9" s="17">
        <f>IF(D27&lt;0,D32,D33)</f>
        <v>1.2365472804606898</v>
      </c>
      <c r="E9" s="17"/>
      <c r="F9" s="13" t="str">
        <f>+"["&amp;A32&amp;"] or ["&amp;A33&amp;"]"</f>
        <v>[16] or [17]</v>
      </c>
    </row>
    <row r="10" spans="1:6" ht="12.75">
      <c r="A10" s="6">
        <v>2</v>
      </c>
      <c r="B10" s="13" t="s">
        <v>67</v>
      </c>
      <c r="C10" s="1"/>
      <c r="D10" s="14">
        <f>+D39</f>
        <v>0.1015768058171198</v>
      </c>
      <c r="E10" s="14"/>
      <c r="F10" s="13" t="str">
        <f>+"["&amp;A39&amp;"]"</f>
        <v>[18]</v>
      </c>
    </row>
    <row r="11" spans="1:6" ht="12.75">
      <c r="A11" s="6"/>
      <c r="B11" s="1"/>
      <c r="C11" s="1"/>
      <c r="D11" s="17"/>
      <c r="E11" s="1"/>
      <c r="F11" s="1"/>
    </row>
    <row r="12" spans="1:6" ht="12.75">
      <c r="A12" s="6">
        <v>3</v>
      </c>
      <c r="B12" s="16" t="s">
        <v>127</v>
      </c>
      <c r="C12" s="1"/>
      <c r="D12" s="17">
        <f>ROUND(D9*D10/2,2)</f>
        <v>0.06</v>
      </c>
      <c r="E12" s="1"/>
      <c r="F12" s="13" t="str">
        <f>"["&amp;A9&amp;"] * ["&amp;A10&amp;"] / 2 "</f>
        <v>[1] * [2] / 2 </v>
      </c>
    </row>
    <row r="13" spans="1:6" ht="12.75">
      <c r="A13" s="6">
        <v>4</v>
      </c>
      <c r="B13" s="16" t="s">
        <v>128</v>
      </c>
      <c r="C13" s="1"/>
      <c r="D13" s="17">
        <f>+ROUND(D9*D10/3,2)</f>
        <v>0.04</v>
      </c>
      <c r="E13" s="1"/>
      <c r="F13" s="13" t="str">
        <f>"["&amp;A9&amp;"] * ["&amp;A10&amp;"] / 3"</f>
        <v>[1] * [2] / 3</v>
      </c>
    </row>
    <row r="14" spans="1:6" ht="12.75">
      <c r="A14" s="6"/>
      <c r="B14" s="1"/>
      <c r="C14" s="1"/>
      <c r="D14" s="17"/>
      <c r="E14" s="1"/>
      <c r="F14" s="1"/>
    </row>
    <row r="15" spans="1:7" ht="12.75">
      <c r="A15" s="6">
        <v>5</v>
      </c>
      <c r="B15" s="16" t="s">
        <v>132</v>
      </c>
      <c r="C15" s="1"/>
      <c r="D15" s="17">
        <f>+'Conduit-MR'!D12</f>
        <v>0.21</v>
      </c>
      <c r="E15" s="1"/>
      <c r="F15" s="1" t="s">
        <v>142</v>
      </c>
      <c r="G15" s="17"/>
    </row>
    <row r="16" spans="1:7" ht="13.5" thickBot="1">
      <c r="A16" s="6">
        <v>6</v>
      </c>
      <c r="B16" s="16" t="s">
        <v>133</v>
      </c>
      <c r="C16" s="1"/>
      <c r="D16" s="17">
        <f>+'Conduit-MR'!D13</f>
        <v>0.14</v>
      </c>
      <c r="E16" s="1"/>
      <c r="F16" s="1" t="s">
        <v>142</v>
      </c>
      <c r="G16" s="17"/>
    </row>
    <row r="17" spans="1:6" ht="12.75">
      <c r="A17" s="6">
        <v>7</v>
      </c>
      <c r="B17" s="43" t="s">
        <v>79</v>
      </c>
      <c r="C17" s="43"/>
      <c r="D17" s="47">
        <f>+D15-D12</f>
        <v>0.15</v>
      </c>
      <c r="E17" s="17"/>
      <c r="F17" s="13" t="str">
        <f>"["&amp;A15&amp;"]  - ["&amp;A12&amp;"]"</f>
        <v>[5]  - [3]</v>
      </c>
    </row>
    <row r="18" spans="1:6" ht="13.5" thickBot="1">
      <c r="A18" s="4">
        <v>8</v>
      </c>
      <c r="B18" s="45" t="s">
        <v>78</v>
      </c>
      <c r="C18" s="46"/>
      <c r="D18" s="48">
        <f>+D16-D13</f>
        <v>0.1</v>
      </c>
      <c r="E18" s="38"/>
      <c r="F18" s="13" t="str">
        <f>"["&amp;A16&amp;"]  - ["&amp;A13&amp;"]"</f>
        <v>[6]  - [4]</v>
      </c>
    </row>
    <row r="19" spans="1:5" ht="12.75">
      <c r="A19" s="4"/>
      <c r="B19" s="16"/>
      <c r="D19" s="38"/>
      <c r="E19" s="38"/>
    </row>
    <row r="20" spans="1:6" ht="12.75">
      <c r="A20" s="39" t="s">
        <v>68</v>
      </c>
      <c r="B20" s="40"/>
      <c r="C20" s="40"/>
      <c r="D20" s="40"/>
      <c r="E20" s="40"/>
      <c r="F20" s="40"/>
    </row>
    <row r="21" spans="1:6" ht="12.75">
      <c r="A21" s="7" t="s">
        <v>34</v>
      </c>
      <c r="B21" s="8" t="s">
        <v>35</v>
      </c>
      <c r="C21" s="9"/>
      <c r="D21" s="7"/>
      <c r="E21" s="7"/>
      <c r="F21" s="8"/>
    </row>
    <row r="22" spans="1:6" ht="12.75">
      <c r="A22" s="10"/>
      <c r="B22" s="11"/>
      <c r="C22" s="12"/>
      <c r="D22" s="10"/>
      <c r="E22" s="10"/>
      <c r="F22" s="11"/>
    </row>
    <row r="23" spans="1:6" ht="12.75">
      <c r="A23" s="6">
        <f>+MAX(A9:A22)+1</f>
        <v>9</v>
      </c>
      <c r="B23" s="13" t="s">
        <v>27</v>
      </c>
      <c r="C23" s="1"/>
      <c r="D23" s="21">
        <f>+'Input Financial Data-IRD'!C17</f>
        <v>67969</v>
      </c>
      <c r="E23" s="21"/>
      <c r="F23" s="22" t="s">
        <v>80</v>
      </c>
    </row>
    <row r="24" spans="1:6" ht="12.75">
      <c r="A24" s="6">
        <f aca="true" t="shared" si="0" ref="A24:A33">+MAX(A10:A23)+1</f>
        <v>10</v>
      </c>
      <c r="B24" s="16" t="s">
        <v>28</v>
      </c>
      <c r="C24" s="1"/>
      <c r="D24" s="21">
        <f>+'Input Financial Data-IRD'!C21</f>
        <v>12172</v>
      </c>
      <c r="E24" s="21"/>
      <c r="F24" s="22" t="s">
        <v>81</v>
      </c>
    </row>
    <row r="25" spans="1:6" ht="12.75">
      <c r="A25" s="6">
        <f t="shared" si="0"/>
        <v>11</v>
      </c>
      <c r="B25" s="22" t="s">
        <v>29</v>
      </c>
      <c r="C25" s="1"/>
      <c r="D25" s="21">
        <f>+'Input Financial Data-IRD'!C27</f>
        <v>0</v>
      </c>
      <c r="E25" s="21"/>
      <c r="F25" s="22" t="s">
        <v>82</v>
      </c>
    </row>
    <row r="26" spans="1:6" ht="12.75">
      <c r="A26" s="6">
        <f t="shared" si="0"/>
        <v>12</v>
      </c>
      <c r="B26" s="22" t="s">
        <v>30</v>
      </c>
      <c r="C26" s="1"/>
      <c r="D26" s="21">
        <f>+'Input Financial Data-IRD'!C31</f>
        <v>5012.708097622173</v>
      </c>
      <c r="E26" s="21"/>
      <c r="F26" s="22" t="s">
        <v>83</v>
      </c>
    </row>
    <row r="27" spans="1:6" ht="12.75">
      <c r="A27" s="6">
        <f t="shared" si="0"/>
        <v>13</v>
      </c>
      <c r="B27" s="16" t="s">
        <v>69</v>
      </c>
      <c r="C27" s="1"/>
      <c r="D27" s="23">
        <f>D23-D24-D25-D26</f>
        <v>50784.29190237782</v>
      </c>
      <c r="E27" s="23"/>
      <c r="F27" s="22" t="str">
        <f>"["&amp;A23&amp;"] - { ["&amp;A24&amp;"] + ["&amp;A25&amp;"] + ["&amp;A26&amp;"] }"</f>
        <v>[9] - { [10] + [11] + [12] }</v>
      </c>
    </row>
    <row r="28" spans="1:5" ht="12.75">
      <c r="A28" s="6"/>
      <c r="B28" s="2"/>
      <c r="C28" s="1"/>
      <c r="D28" s="1"/>
      <c r="E28" s="1"/>
    </row>
    <row r="29" spans="1:6" ht="12.75">
      <c r="A29" s="6">
        <f t="shared" si="0"/>
        <v>14</v>
      </c>
      <c r="B29" s="22" t="s">
        <v>32</v>
      </c>
      <c r="C29" s="1"/>
      <c r="D29" s="24">
        <f>+'Input Financial Data-IRD'!C49</f>
        <v>12518</v>
      </c>
      <c r="E29" s="24"/>
      <c r="F29" s="22" t="s">
        <v>84</v>
      </c>
    </row>
    <row r="30" spans="1:6" ht="12.75">
      <c r="A30" s="6">
        <f t="shared" si="0"/>
        <v>15</v>
      </c>
      <c r="B30" s="22" t="s">
        <v>33</v>
      </c>
      <c r="C30" s="1"/>
      <c r="D30" s="24">
        <f>+D29*3280.83</f>
        <v>41069429.94</v>
      </c>
      <c r="E30" s="25"/>
      <c r="F30" s="27" t="str">
        <f>"["&amp;A29&amp;"] * 3,280.83"</f>
        <v>[14] * 3,280.83</v>
      </c>
    </row>
    <row r="31" spans="1:6" ht="12.75">
      <c r="A31" s="6"/>
      <c r="B31" s="1"/>
      <c r="C31" s="1"/>
      <c r="D31" s="1"/>
      <c r="E31" s="1"/>
      <c r="F31" s="26"/>
    </row>
    <row r="32" spans="1:6" ht="12.75">
      <c r="A32" s="6">
        <f t="shared" si="0"/>
        <v>16</v>
      </c>
      <c r="B32" s="13" t="s">
        <v>70</v>
      </c>
      <c r="C32" s="1"/>
      <c r="D32" s="17">
        <f>D23/D30*1000</f>
        <v>1.654977926387064</v>
      </c>
      <c r="E32" s="17"/>
      <c r="F32" s="27" t="str">
        <f>"["&amp;A23&amp;"] / ["&amp;A29&amp;"] * ["&amp;A30&amp;"] * 1000"</f>
        <v>[9] / [14] * [15] * 1000</v>
      </c>
    </row>
    <row r="33" spans="1:6" ht="12.75">
      <c r="A33" s="6">
        <f t="shared" si="0"/>
        <v>17</v>
      </c>
      <c r="B33" s="16" t="s">
        <v>71</v>
      </c>
      <c r="C33" s="1"/>
      <c r="D33" s="17">
        <f>+D27/D30*1000</f>
        <v>1.2365472804606898</v>
      </c>
      <c r="E33" s="17"/>
      <c r="F33" s="27" t="str">
        <f>"["&amp;A27&amp;"] / ["&amp;A29&amp;"] * ["&amp;A30&amp;"] *1000"</f>
        <v>[13] / [14] * [15] *1000</v>
      </c>
    </row>
    <row r="34" spans="1:6" ht="25.5">
      <c r="A34" s="6"/>
      <c r="B34" s="16" t="s">
        <v>37</v>
      </c>
      <c r="C34" s="1"/>
      <c r="D34" s="28" t="str">
        <f>IF(D33&lt;0,$B$32,$B$33)</f>
        <v>Net Cost per Duct Foot</v>
      </c>
      <c r="E34" s="28"/>
      <c r="F34" s="27"/>
    </row>
    <row r="35" spans="1:6" ht="12.75">
      <c r="A35" s="29"/>
      <c r="F35" s="13"/>
    </row>
    <row r="36" spans="1:6" ht="12.75">
      <c r="A36" s="39" t="s">
        <v>72</v>
      </c>
      <c r="B36" s="39"/>
      <c r="C36" s="39"/>
      <c r="D36" s="39"/>
      <c r="E36" s="39"/>
      <c r="F36" s="39" t="s">
        <v>144</v>
      </c>
    </row>
    <row r="37" spans="1:6" ht="12.75">
      <c r="A37" s="7" t="s">
        <v>34</v>
      </c>
      <c r="B37" s="8" t="s">
        <v>35</v>
      </c>
      <c r="C37" s="9"/>
      <c r="D37" s="7"/>
      <c r="E37" s="7"/>
      <c r="F37" s="8" t="s">
        <v>0</v>
      </c>
    </row>
    <row r="38" spans="1:6" ht="12.75">
      <c r="A38" s="10"/>
      <c r="B38" s="11" t="s">
        <v>143</v>
      </c>
      <c r="C38" s="12"/>
      <c r="D38" s="30" t="str">
        <f>+IF(D27&lt;0,"Gross","Net")</f>
        <v>Net</v>
      </c>
      <c r="E38" s="30"/>
      <c r="F38" s="11"/>
    </row>
    <row r="39" spans="1:6" ht="12.75">
      <c r="A39" s="6">
        <f>+MAX(A25:A38)+1</f>
        <v>18</v>
      </c>
      <c r="B39" s="13" t="s">
        <v>50</v>
      </c>
      <c r="C39" s="1"/>
      <c r="D39" s="14">
        <f>D43+D47+D52+D56+IF(D27&lt;0,D59,D58)</f>
        <v>0.1015768058171198</v>
      </c>
      <c r="E39" s="14"/>
      <c r="F39" s="13" t="str">
        <f>+"["&amp;A43&amp;"] + ["&amp;A47&amp;"] + ["&amp;A52&amp;"] + ["&amp;A56&amp;"] + {["&amp;A58&amp;"] or ["&amp;A59&amp;"]}"</f>
        <v>[21] + [24] + [28] + [31] + {[32] or [33]}</v>
      </c>
    </row>
    <row r="40" spans="1:6" ht="12.75">
      <c r="A40" s="31"/>
      <c r="B40" s="13"/>
      <c r="C40" s="1"/>
      <c r="D40" s="1"/>
      <c r="E40" s="1"/>
      <c r="F40" s="13"/>
    </row>
    <row r="41" spans="1:6" ht="12.75">
      <c r="A41" s="6">
        <f>+MAX(A27:A40)+1</f>
        <v>19</v>
      </c>
      <c r="B41" s="26" t="s">
        <v>20</v>
      </c>
      <c r="C41" s="1"/>
      <c r="D41" s="21">
        <f>+'Input Financial Data-IRD'!C42</f>
        <v>72644</v>
      </c>
      <c r="E41" s="21"/>
      <c r="F41" s="22" t="s">
        <v>21</v>
      </c>
    </row>
    <row r="42" spans="1:6" ht="12.75">
      <c r="A42" s="6">
        <f>+MAX(A28:A41)+1</f>
        <v>20</v>
      </c>
      <c r="B42" s="22" t="s">
        <v>51</v>
      </c>
      <c r="C42" s="1"/>
      <c r="D42" s="23">
        <f>IF(D27&lt;0,D65,D69)</f>
        <v>867187</v>
      </c>
      <c r="E42" s="23"/>
      <c r="F42" s="13" t="str">
        <f>+"["&amp;A65&amp;"] or ["&amp;A69&amp;"]"</f>
        <v>[A1] or [A5]</v>
      </c>
    </row>
    <row r="43" spans="1:6" ht="12.75">
      <c r="A43" s="6">
        <f>+MAX(A29:A42)+1</f>
        <v>21</v>
      </c>
      <c r="B43" s="27" t="s">
        <v>52</v>
      </c>
      <c r="C43" s="1"/>
      <c r="D43" s="20">
        <f>D41/D42</f>
        <v>0.08376970595730794</v>
      </c>
      <c r="E43" s="20"/>
      <c r="F43" s="13" t="str">
        <f>"["&amp;A41&amp;"] / ["&amp;A42&amp;"]"</f>
        <v>[19] / [20]</v>
      </c>
    </row>
    <row r="44" spans="1:6" ht="12.75">
      <c r="A44" s="6"/>
      <c r="B44" s="2"/>
      <c r="C44" s="1"/>
      <c r="D44" s="1"/>
      <c r="E44" s="1"/>
      <c r="F44" s="1"/>
    </row>
    <row r="45" spans="1:6" ht="12.75">
      <c r="A45" s="6">
        <f>+MAX(A31:A44)+1</f>
        <v>22</v>
      </c>
      <c r="B45" s="16" t="s">
        <v>73</v>
      </c>
      <c r="C45" s="1"/>
      <c r="D45" s="21">
        <f>+'Input Financial Data-IRD'!C38</f>
        <v>707</v>
      </c>
      <c r="E45" s="21"/>
      <c r="F45" s="22" t="s">
        <v>85</v>
      </c>
    </row>
    <row r="46" spans="1:6" ht="12.75">
      <c r="A46" s="6">
        <f>+MAX(A32:A45)+1</f>
        <v>23</v>
      </c>
      <c r="B46" s="16" t="s">
        <v>74</v>
      </c>
      <c r="C46" s="1"/>
      <c r="D46" s="23">
        <f>IF(D27&lt;0,D23,D27)</f>
        <v>50784.29190237782</v>
      </c>
      <c r="E46" s="23"/>
      <c r="F46" s="16" t="str">
        <f>+"["&amp;A23&amp;"] or ["&amp;A27&amp;"]"</f>
        <v>[9] or [13]</v>
      </c>
    </row>
    <row r="47" spans="1:6" ht="12.75">
      <c r="A47" s="6">
        <f>+MAX(A33:A46)+1</f>
        <v>24</v>
      </c>
      <c r="B47" s="16" t="s">
        <v>55</v>
      </c>
      <c r="C47" s="1"/>
      <c r="D47" s="20">
        <f>D45/D46</f>
        <v>0.013921627604044565</v>
      </c>
      <c r="E47" s="20"/>
      <c r="F47" s="13" t="str">
        <f>"["&amp;A45&amp;"] / ["&amp;A46&amp;"]"</f>
        <v>[22] / [23]</v>
      </c>
    </row>
    <row r="48" spans="1:6" ht="12.75">
      <c r="A48" s="6"/>
      <c r="B48" s="1"/>
      <c r="C48" s="1"/>
      <c r="D48" s="1"/>
      <c r="E48" s="1"/>
      <c r="F48" s="1"/>
    </row>
    <row r="49" spans="1:6" ht="12.75">
      <c r="A49" s="6">
        <f>+MAX(A35:A48)+1</f>
        <v>25</v>
      </c>
      <c r="B49" s="26" t="s">
        <v>31</v>
      </c>
      <c r="C49" s="1"/>
      <c r="D49" s="32">
        <f>+'Input Financial Data-IRD'!C24/100</f>
        <v>0.025</v>
      </c>
      <c r="E49" s="32"/>
      <c r="F49" s="22" t="s">
        <v>86</v>
      </c>
    </row>
    <row r="50" spans="1:6" ht="12.75">
      <c r="A50" s="6">
        <f>+MAX(A36:A49)+1</f>
        <v>26</v>
      </c>
      <c r="B50" s="26" t="s">
        <v>27</v>
      </c>
      <c r="C50" s="1"/>
      <c r="D50" s="23">
        <f>D23</f>
        <v>67969</v>
      </c>
      <c r="E50" s="23"/>
      <c r="F50" s="13" t="str">
        <f>+"["&amp;A23&amp;"]"</f>
        <v>[9]</v>
      </c>
    </row>
    <row r="51" spans="1:6" ht="12.75">
      <c r="A51" s="6">
        <f>+MAX(A37:A50)+1</f>
        <v>27</v>
      </c>
      <c r="B51" s="26" t="s">
        <v>69</v>
      </c>
      <c r="C51" s="1"/>
      <c r="D51" s="23">
        <f>+D27</f>
        <v>50784.29190237782</v>
      </c>
      <c r="E51" s="23"/>
      <c r="F51" s="13" t="str">
        <f>+"["&amp;A27&amp;"]"</f>
        <v>[13]</v>
      </c>
    </row>
    <row r="52" spans="1:6" ht="12.75">
      <c r="A52" s="6">
        <f>+MAX(A38:A51)+1</f>
        <v>28</v>
      </c>
      <c r="B52" s="22" t="s">
        <v>56</v>
      </c>
      <c r="C52" s="1"/>
      <c r="D52" s="20">
        <f>MAX(D49,D49*(D50/D51))</f>
        <v>0.03345965723547755</v>
      </c>
      <c r="E52" s="20"/>
      <c r="F52" s="13" t="str">
        <f>"Max({["&amp;A49&amp;"] * ["&amp;A50&amp;"] / ["&amp;A51&amp;"]} and ["&amp;A49&amp;"])"</f>
        <v>Max({[25] * [26] / [27]} and [25])</v>
      </c>
    </row>
    <row r="53" spans="1:6" ht="12.75">
      <c r="A53" s="6"/>
      <c r="B53" s="1"/>
      <c r="C53" s="1"/>
      <c r="D53" s="1"/>
      <c r="E53" s="1"/>
      <c r="F53" s="1"/>
    </row>
    <row r="54" spans="1:6" ht="12.75">
      <c r="A54" s="6">
        <f>+MAX(A40:A53)+1</f>
        <v>29</v>
      </c>
      <c r="B54" s="13" t="s">
        <v>22</v>
      </c>
      <c r="C54" s="1"/>
      <c r="D54" s="21">
        <f>+'Input Financial Data-IRD'!C43</f>
        <v>-115617</v>
      </c>
      <c r="E54" s="21"/>
      <c r="F54" s="22" t="s">
        <v>23</v>
      </c>
    </row>
    <row r="55" spans="1:6" ht="12.75">
      <c r="A55" s="6">
        <f>+MAX(A41:A54)+1</f>
        <v>30</v>
      </c>
      <c r="B55" s="26" t="str">
        <f>+B42</f>
        <v>Investment - Total Plant in Service</v>
      </c>
      <c r="C55" s="1"/>
      <c r="D55" s="23">
        <f>+D42</f>
        <v>867187</v>
      </c>
      <c r="E55" s="23"/>
      <c r="F55" s="13" t="str">
        <f>+"["&amp;A65&amp;"] or ["&amp;A69&amp;"]"</f>
        <v>[A1] or [A5]</v>
      </c>
    </row>
    <row r="56" spans="1:6" ht="12.75">
      <c r="A56" s="6">
        <f>+MAX(A42:A55)+1</f>
        <v>31</v>
      </c>
      <c r="B56" s="13" t="s">
        <v>57</v>
      </c>
      <c r="C56" s="1"/>
      <c r="D56" s="20">
        <f>D54/D55</f>
        <v>-0.13332418497971027</v>
      </c>
      <c r="E56" s="20"/>
      <c r="F56" s="13" t="str">
        <f>"["&amp;A54&amp;"] / ["&amp;A55&amp;"]"</f>
        <v>[29] / [30]</v>
      </c>
    </row>
    <row r="57" spans="1:6" ht="12.75">
      <c r="A57" s="6"/>
      <c r="B57" s="1"/>
      <c r="C57" s="1"/>
      <c r="D57" s="1"/>
      <c r="E57" s="1"/>
      <c r="F57" s="1"/>
    </row>
    <row r="58" spans="1:6" ht="12.75">
      <c r="A58" s="6">
        <f>+MAX(A44:A57)+1</f>
        <v>32</v>
      </c>
      <c r="B58" s="27" t="s">
        <v>58</v>
      </c>
      <c r="C58" s="1"/>
      <c r="D58" s="83">
        <v>0.10375</v>
      </c>
      <c r="E58" s="32"/>
      <c r="F58" s="19" t="s">
        <v>144</v>
      </c>
    </row>
    <row r="59" spans="1:6" ht="12.75">
      <c r="A59" s="6">
        <f>+MAX(A45:A58)+1</f>
        <v>33</v>
      </c>
      <c r="B59" s="27" t="s">
        <v>75</v>
      </c>
      <c r="C59" s="1"/>
      <c r="D59" s="33" t="str">
        <f>IF(D27&lt;0,MAX(D58*D27/D23,-D58),"N/A")</f>
        <v>N/A</v>
      </c>
      <c r="E59" s="33"/>
      <c r="F59" s="13" t="str">
        <f>"Max({["&amp;A58&amp;"] * ["&amp;A27&amp;"] / ["&amp;A23&amp;"]} and -["&amp;A58&amp;"])"</f>
        <v>Max({[32] * [13] / [9]} and -[32])</v>
      </c>
    </row>
    <row r="60" spans="1:6" ht="12.75">
      <c r="A60" s="4"/>
      <c r="B60" s="3"/>
      <c r="D60" s="34"/>
      <c r="E60" s="34"/>
      <c r="F60" s="3"/>
    </row>
    <row r="61" spans="1:6" ht="12.75">
      <c r="A61" s="39" t="s">
        <v>76</v>
      </c>
      <c r="B61" s="39"/>
      <c r="C61" s="39"/>
      <c r="D61" s="39"/>
      <c r="E61" s="39"/>
      <c r="F61" s="39"/>
    </row>
    <row r="62" spans="1:6" ht="12.75">
      <c r="A62" s="7" t="s">
        <v>34</v>
      </c>
      <c r="B62" s="8" t="s">
        <v>35</v>
      </c>
      <c r="C62" s="9"/>
      <c r="D62" s="8"/>
      <c r="E62" s="8"/>
      <c r="F62" s="8" t="s">
        <v>0</v>
      </c>
    </row>
    <row r="63" spans="1:6" ht="12.75">
      <c r="A63" s="10"/>
      <c r="B63" s="11"/>
      <c r="C63" s="12"/>
      <c r="D63" s="11"/>
      <c r="E63" s="11"/>
      <c r="F63" s="11"/>
    </row>
    <row r="64" spans="1:6" ht="12.75">
      <c r="A64" s="6"/>
      <c r="B64" s="35"/>
      <c r="C64" s="1"/>
      <c r="D64" s="85"/>
      <c r="E64" s="1"/>
      <c r="F64" s="1"/>
    </row>
    <row r="65" spans="1:6" ht="12.75">
      <c r="A65" s="31" t="s">
        <v>61</v>
      </c>
      <c r="B65" s="26" t="s">
        <v>1</v>
      </c>
      <c r="C65" s="1"/>
      <c r="D65" s="21">
        <f>+'Input Financial Data-IRD'!C15</f>
        <v>1893914</v>
      </c>
      <c r="E65" s="21"/>
      <c r="F65" s="22" t="s">
        <v>2</v>
      </c>
    </row>
    <row r="66" spans="1:6" ht="12.75">
      <c r="A66" s="31" t="s">
        <v>62</v>
      </c>
      <c r="B66" s="26" t="s">
        <v>3</v>
      </c>
      <c r="C66" s="1"/>
      <c r="D66" s="21">
        <f>+'Input Financial Data-IRD'!C19</f>
        <v>887051</v>
      </c>
      <c r="E66" s="21"/>
      <c r="F66" s="22" t="s">
        <v>4</v>
      </c>
    </row>
    <row r="67" spans="1:6" ht="12.75">
      <c r="A67" s="31" t="s">
        <v>63</v>
      </c>
      <c r="B67" s="26" t="s">
        <v>5</v>
      </c>
      <c r="C67" s="1"/>
      <c r="D67" s="21">
        <f>+'Input Financial Data-IRD'!C28</f>
        <v>0</v>
      </c>
      <c r="E67" s="21"/>
      <c r="F67" s="22" t="s">
        <v>6</v>
      </c>
    </row>
    <row r="68" spans="1:6" ht="12.75">
      <c r="A68" s="31" t="s">
        <v>64</v>
      </c>
      <c r="B68" s="26" t="s">
        <v>7</v>
      </c>
      <c r="C68" s="1"/>
      <c r="D68" s="21">
        <f>+'Input Financial Data-IRD'!C32</f>
        <v>139676</v>
      </c>
      <c r="E68" s="21"/>
      <c r="F68" s="22" t="s">
        <v>8</v>
      </c>
    </row>
    <row r="69" spans="1:6" ht="12.75">
      <c r="A69" s="31" t="s">
        <v>65</v>
      </c>
      <c r="B69" s="26" t="s">
        <v>9</v>
      </c>
      <c r="C69" s="1"/>
      <c r="D69" s="36">
        <f>+D65-D66-D67-D68</f>
        <v>867187</v>
      </c>
      <c r="E69" s="36"/>
      <c r="F69" s="22" t="str">
        <f>"["&amp;A65&amp;"] - { ["&amp;A66&amp;"] + ["&amp;A67&amp;"] + ["&amp;A68&amp;"]}"</f>
        <v>[A1] - { [A2] + [A3] + [A4]}</v>
      </c>
    </row>
    <row r="70" ht="12.75">
      <c r="A70" s="37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4"/>
  <sheetViews>
    <sheetView zoomScalePageLayoutView="0" workbookViewId="0" topLeftCell="A1">
      <selection activeCell="B52" sqref="B52"/>
    </sheetView>
  </sheetViews>
  <sheetFormatPr defaultColWidth="9.140625" defaultRowHeight="12.75"/>
  <cols>
    <col min="1" max="1" width="31.00390625" style="0" bestFit="1" customWidth="1"/>
    <col min="2" max="2" width="51.421875" style="0" bestFit="1" customWidth="1"/>
    <col min="3" max="3" width="11.421875" style="0" bestFit="1" customWidth="1"/>
  </cols>
  <sheetData>
    <row r="1" spans="1:3" ht="18">
      <c r="A1" s="90" t="s">
        <v>88</v>
      </c>
      <c r="B1" s="91"/>
      <c r="C1" s="92"/>
    </row>
    <row r="2" spans="1:3" ht="12.75">
      <c r="A2" s="93" t="s">
        <v>89</v>
      </c>
      <c r="B2" s="94"/>
      <c r="C2" s="95"/>
    </row>
    <row r="3" spans="1:7" ht="12.75">
      <c r="A3" s="50"/>
      <c r="B3" s="72"/>
      <c r="C3" s="73"/>
      <c r="D3" s="5"/>
      <c r="E3" s="5"/>
      <c r="F3" s="5"/>
      <c r="G3" s="5"/>
    </row>
    <row r="4" spans="1:3" ht="12.75">
      <c r="A4" s="96" t="s">
        <v>134</v>
      </c>
      <c r="B4" s="97"/>
      <c r="C4" s="98"/>
    </row>
    <row r="5" spans="1:3" ht="12.75">
      <c r="A5" s="96" t="s">
        <v>135</v>
      </c>
      <c r="B5" s="97"/>
      <c r="C5" s="98"/>
    </row>
    <row r="6" spans="1:3" ht="12.75">
      <c r="A6" s="96" t="s">
        <v>90</v>
      </c>
      <c r="B6" s="97"/>
      <c r="C6" s="98"/>
    </row>
    <row r="7" spans="1:3" ht="12.75">
      <c r="A7" s="53" t="s">
        <v>131</v>
      </c>
      <c r="C7" s="54"/>
    </row>
    <row r="8" spans="1:3" ht="12.75">
      <c r="A8" s="53" t="s">
        <v>92</v>
      </c>
      <c r="C8" s="73" t="s">
        <v>91</v>
      </c>
    </row>
    <row r="9" spans="1:3" ht="13.5" thickBot="1">
      <c r="A9" s="50"/>
      <c r="B9" s="51"/>
      <c r="C9" s="52"/>
    </row>
    <row r="10" spans="1:3" ht="12.75">
      <c r="A10" s="55" t="s">
        <v>93</v>
      </c>
      <c r="B10" s="56" t="s">
        <v>94</v>
      </c>
      <c r="C10" s="57" t="s">
        <v>95</v>
      </c>
    </row>
    <row r="11" spans="1:3" ht="13.5" thickBot="1">
      <c r="A11" s="58"/>
      <c r="B11" s="59" t="s">
        <v>96</v>
      </c>
      <c r="C11" s="60" t="s">
        <v>97</v>
      </c>
    </row>
    <row r="12" spans="1:3" ht="12.75">
      <c r="A12" s="61"/>
      <c r="B12" s="2"/>
      <c r="C12" s="62"/>
    </row>
    <row r="13" spans="1:3" ht="12.75">
      <c r="A13" s="63" t="s">
        <v>98</v>
      </c>
      <c r="B13" s="2"/>
      <c r="C13" s="49">
        <v>2017</v>
      </c>
    </row>
    <row r="14" spans="1:3" ht="13.5" thickBot="1">
      <c r="A14" s="61"/>
      <c r="B14" s="2"/>
      <c r="C14" s="62"/>
    </row>
    <row r="15" spans="1:3" ht="12.75">
      <c r="A15" s="64">
        <v>100</v>
      </c>
      <c r="B15" s="65" t="s">
        <v>99</v>
      </c>
      <c r="C15" s="80">
        <v>1893914</v>
      </c>
    </row>
    <row r="16" spans="1:3" ht="12.75">
      <c r="A16" s="61">
        <v>101</v>
      </c>
      <c r="B16" s="66" t="s">
        <v>100</v>
      </c>
      <c r="C16" s="78">
        <v>116422</v>
      </c>
    </row>
    <row r="17" spans="1:3" ht="12.75">
      <c r="A17" s="61">
        <v>102</v>
      </c>
      <c r="B17" s="66" t="s">
        <v>101</v>
      </c>
      <c r="C17" s="78">
        <v>67969</v>
      </c>
    </row>
    <row r="18" spans="1:3" ht="12.75">
      <c r="A18" s="61"/>
      <c r="B18" s="66"/>
      <c r="C18" s="78"/>
    </row>
    <row r="19" spans="1:3" ht="12.75">
      <c r="A19" s="61">
        <v>200</v>
      </c>
      <c r="B19" s="66" t="s">
        <v>102</v>
      </c>
      <c r="C19" s="78">
        <v>887051</v>
      </c>
    </row>
    <row r="20" spans="1:3" ht="12.75">
      <c r="A20" s="61">
        <v>201</v>
      </c>
      <c r="B20" s="66" t="s">
        <v>103</v>
      </c>
      <c r="C20" s="78">
        <v>44709</v>
      </c>
    </row>
    <row r="21" spans="1:3" ht="12.75">
      <c r="A21" s="61">
        <v>202</v>
      </c>
      <c r="B21" s="66" t="s">
        <v>104</v>
      </c>
      <c r="C21" s="78">
        <v>12172</v>
      </c>
    </row>
    <row r="22" spans="1:3" ht="12.75">
      <c r="A22" s="61"/>
      <c r="B22" s="66"/>
      <c r="C22" s="75"/>
    </row>
    <row r="23" spans="1:3" ht="12.75">
      <c r="A23" s="61">
        <v>301</v>
      </c>
      <c r="B23" s="66" t="s">
        <v>105</v>
      </c>
      <c r="C23" s="82">
        <v>3.85</v>
      </c>
    </row>
    <row r="24" spans="1:3" ht="12.75">
      <c r="A24" s="61">
        <v>302</v>
      </c>
      <c r="B24" s="66" t="s">
        <v>106</v>
      </c>
      <c r="C24" s="82">
        <v>2.5</v>
      </c>
    </row>
    <row r="25" spans="1:3" ht="12.75">
      <c r="A25" s="61"/>
      <c r="B25" s="66"/>
      <c r="C25" s="75"/>
    </row>
    <row r="26" spans="1:3" ht="12.75">
      <c r="A26" s="61">
        <v>401</v>
      </c>
      <c r="B26" s="66" t="s">
        <v>107</v>
      </c>
      <c r="C26" s="78"/>
    </row>
    <row r="27" spans="1:3" ht="12.75">
      <c r="A27" s="61">
        <v>402</v>
      </c>
      <c r="B27" s="66" t="s">
        <v>108</v>
      </c>
      <c r="C27" s="78"/>
    </row>
    <row r="28" spans="1:3" ht="12.75">
      <c r="A28" s="61">
        <v>403</v>
      </c>
      <c r="B28" s="66" t="s">
        <v>109</v>
      </c>
      <c r="C28" s="78"/>
    </row>
    <row r="29" spans="1:3" ht="12.75">
      <c r="A29" s="61"/>
      <c r="B29" s="66"/>
      <c r="C29" s="78"/>
    </row>
    <row r="30" spans="1:3" ht="12.75">
      <c r="A30" s="61">
        <v>404</v>
      </c>
      <c r="B30" s="66" t="s">
        <v>110</v>
      </c>
      <c r="C30" s="78">
        <v>8586.112818216667</v>
      </c>
    </row>
    <row r="31" spans="1:3" ht="12.75">
      <c r="A31" s="61">
        <v>405</v>
      </c>
      <c r="B31" s="66" t="s">
        <v>111</v>
      </c>
      <c r="C31" s="78">
        <v>5012.708097622173</v>
      </c>
    </row>
    <row r="32" spans="1:3" ht="12.75">
      <c r="A32" s="61">
        <v>406</v>
      </c>
      <c r="B32" s="66" t="s">
        <v>112</v>
      </c>
      <c r="C32" s="78">
        <v>139676</v>
      </c>
    </row>
    <row r="33" spans="1:3" ht="12.75">
      <c r="A33" s="61"/>
      <c r="B33" s="66"/>
      <c r="C33" s="75"/>
    </row>
    <row r="34" spans="1:3" ht="12.75">
      <c r="A34" s="61">
        <v>501.1</v>
      </c>
      <c r="B34" s="66" t="s">
        <v>113</v>
      </c>
      <c r="C34" s="78">
        <v>2852</v>
      </c>
    </row>
    <row r="35" spans="1:3" ht="12.75">
      <c r="A35" s="61">
        <v>501.2</v>
      </c>
      <c r="B35" s="66" t="s">
        <v>114</v>
      </c>
      <c r="C35" s="78">
        <v>8433</v>
      </c>
    </row>
    <row r="36" spans="1:3" ht="12.75">
      <c r="A36" s="61">
        <v>501</v>
      </c>
      <c r="B36" s="66" t="s">
        <v>115</v>
      </c>
      <c r="C36" s="75">
        <v>11285</v>
      </c>
    </row>
    <row r="37" spans="1:3" ht="12.75">
      <c r="A37" s="61"/>
      <c r="B37" s="66"/>
      <c r="C37" s="75"/>
    </row>
    <row r="38" spans="1:3" ht="12.75">
      <c r="A38" s="61">
        <v>502.1</v>
      </c>
      <c r="B38" s="66" t="s">
        <v>116</v>
      </c>
      <c r="C38" s="78">
        <v>707</v>
      </c>
    </row>
    <row r="39" spans="1:3" ht="12.75">
      <c r="A39" s="61">
        <v>502.2</v>
      </c>
      <c r="B39" s="66" t="s">
        <v>117</v>
      </c>
      <c r="C39" s="78">
        <v>1</v>
      </c>
    </row>
    <row r="40" spans="1:3" ht="12.75">
      <c r="A40" s="61">
        <v>502</v>
      </c>
      <c r="B40" s="66" t="s">
        <v>118</v>
      </c>
      <c r="C40" s="75">
        <v>708</v>
      </c>
    </row>
    <row r="41" spans="1:3" ht="12.75">
      <c r="A41" s="61"/>
      <c r="B41" s="66"/>
      <c r="C41" s="75"/>
    </row>
    <row r="42" spans="1:3" ht="12.75">
      <c r="A42" s="61">
        <v>503</v>
      </c>
      <c r="B42" s="66" t="s">
        <v>119</v>
      </c>
      <c r="C42" s="78">
        <v>72644</v>
      </c>
    </row>
    <row r="43" spans="1:3" ht="13.5" thickBot="1">
      <c r="A43" s="67">
        <v>504</v>
      </c>
      <c r="B43" s="68" t="s">
        <v>120</v>
      </c>
      <c r="C43" s="79">
        <v>-115617</v>
      </c>
    </row>
    <row r="44" spans="1:3" ht="12.75">
      <c r="A44" s="61"/>
      <c r="B44" s="2"/>
      <c r="C44" s="62"/>
    </row>
    <row r="45" spans="1:3" ht="12.75">
      <c r="A45" s="63" t="s">
        <v>121</v>
      </c>
      <c r="B45" s="45"/>
      <c r="C45" s="62"/>
    </row>
    <row r="46" spans="1:3" ht="13.5" thickBot="1">
      <c r="A46" s="61"/>
      <c r="B46" s="2"/>
      <c r="C46" s="62"/>
    </row>
    <row r="47" spans="1:3" ht="12.75">
      <c r="A47" s="64">
        <v>601</v>
      </c>
      <c r="B47" s="65" t="s">
        <v>122</v>
      </c>
      <c r="C47" s="80">
        <v>320990</v>
      </c>
    </row>
    <row r="48" spans="1:3" ht="12.75">
      <c r="A48" s="61">
        <v>602</v>
      </c>
      <c r="B48" s="66" t="s">
        <v>123</v>
      </c>
      <c r="C48" s="78">
        <v>2158</v>
      </c>
    </row>
    <row r="49" spans="1:3" ht="13.5" thickBot="1">
      <c r="A49" s="67">
        <v>603</v>
      </c>
      <c r="B49" s="68" t="s">
        <v>124</v>
      </c>
      <c r="C49" s="79">
        <v>12518</v>
      </c>
    </row>
    <row r="50" spans="1:3" ht="13.5" thickBot="1">
      <c r="A50" s="61"/>
      <c r="B50" s="2"/>
      <c r="C50" s="62"/>
    </row>
    <row r="51" spans="1:3" ht="13.5" thickBot="1">
      <c r="A51" s="69">
        <v>700</v>
      </c>
      <c r="B51" s="70" t="s">
        <v>125</v>
      </c>
      <c r="C51" s="71" t="s">
        <v>126</v>
      </c>
    </row>
    <row r="52" spans="1:4" ht="12.75">
      <c r="A52" s="81"/>
      <c r="B52" s="72"/>
      <c r="C52" s="81"/>
      <c r="D52" s="1"/>
    </row>
    <row r="64" spans="4:6" ht="12.75">
      <c r="D64" s="84"/>
      <c r="F64" t="s">
        <v>144</v>
      </c>
    </row>
  </sheetData>
  <sheetProtection/>
  <mergeCells count="5">
    <mergeCell ref="A1:C1"/>
    <mergeCell ref="A2:C2"/>
    <mergeCell ref="A4:C4"/>
    <mergeCell ref="A5:C5"/>
    <mergeCell ref="A6:C6"/>
  </mergeCells>
  <printOptions/>
  <pageMargins left="0.7" right="0.7" top="0.75" bottom="0.75" header="0.3" footer="0.3"/>
  <pageSetup fitToHeight="1" fitToWidth="1" horizontalDpi="600" verticalDpi="600" orientation="portrait" scale="99" r:id="rId1"/>
  <headerFooter>
    <oddFooter>&amp;CProperty of ATT -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1">
      <pane xSplit="2" topLeftCell="C1" activePane="topRight" state="frozen"/>
      <selection pane="topLeft" activeCell="F37" sqref="F37"/>
      <selection pane="topRight" activeCell="A3" sqref="A3"/>
    </sheetView>
  </sheetViews>
  <sheetFormatPr defaultColWidth="9.140625" defaultRowHeight="12.75"/>
  <cols>
    <col min="1" max="1" width="7.57421875" style="0" customWidth="1"/>
    <col min="2" max="2" width="64.421875" style="0" bestFit="1" customWidth="1"/>
    <col min="3" max="3" width="5.421875" style="0" bestFit="1" customWidth="1"/>
    <col min="4" max="4" width="15.00390625" style="0" customWidth="1"/>
    <col min="5" max="5" width="3.57421875" style="0" customWidth="1"/>
    <col min="6" max="6" width="34.57421875" style="0" customWidth="1"/>
  </cols>
  <sheetData>
    <row r="1" spans="1:6" ht="15" customHeight="1">
      <c r="A1" s="86" t="s">
        <v>139</v>
      </c>
      <c r="B1" s="86"/>
      <c r="C1" s="86"/>
      <c r="D1" s="86"/>
      <c r="E1" s="86"/>
      <c r="F1" s="86"/>
    </row>
    <row r="2" spans="1:6" ht="15" customHeight="1">
      <c r="A2" s="87" t="s">
        <v>130</v>
      </c>
      <c r="B2" s="87"/>
      <c r="C2" s="87"/>
      <c r="D2" s="87"/>
      <c r="E2" s="87"/>
      <c r="F2" s="87"/>
    </row>
    <row r="3" spans="1:7" ht="18" customHeight="1">
      <c r="A3" s="3"/>
      <c r="B3" s="72"/>
      <c r="C3" s="5"/>
      <c r="D3" s="5"/>
      <c r="E3" s="5"/>
      <c r="F3" s="5"/>
      <c r="G3" s="5"/>
    </row>
    <row r="4" ht="12.75">
      <c r="B4" s="5"/>
    </row>
    <row r="5" spans="1:6" ht="12.75">
      <c r="A5" s="39" t="s">
        <v>87</v>
      </c>
      <c r="B5" s="39"/>
      <c r="C5" s="39"/>
      <c r="D5" s="39"/>
      <c r="E5" s="39"/>
      <c r="F5" s="39"/>
    </row>
    <row r="6" spans="1:6" ht="12.75">
      <c r="A6" s="7" t="s">
        <v>34</v>
      </c>
      <c r="B6" s="8" t="s">
        <v>35</v>
      </c>
      <c r="C6" s="9"/>
      <c r="D6" s="7"/>
      <c r="E6" s="7"/>
      <c r="F6" s="8" t="s">
        <v>0</v>
      </c>
    </row>
    <row r="7" spans="1:6" ht="12.75">
      <c r="A7" s="10"/>
      <c r="B7" s="11"/>
      <c r="C7" s="12"/>
      <c r="D7" s="10"/>
      <c r="E7" s="10"/>
      <c r="F7" s="11"/>
    </row>
    <row r="8" spans="1:6" ht="12.75">
      <c r="A8" s="6">
        <v>1</v>
      </c>
      <c r="B8" s="13" t="s">
        <v>36</v>
      </c>
      <c r="C8" s="1"/>
      <c r="D8" s="14">
        <f>D22</f>
        <v>0.07593014426727411</v>
      </c>
      <c r="E8" s="14"/>
      <c r="F8" s="13" t="str">
        <f>+"["&amp;A22&amp;"]"</f>
        <v>[7]</v>
      </c>
    </row>
    <row r="9" spans="1:6" ht="12.75">
      <c r="A9" s="6"/>
      <c r="B9" s="13" t="s">
        <v>37</v>
      </c>
      <c r="C9" s="1"/>
      <c r="D9" s="15" t="str">
        <f>IF(D31&lt;0,"Gross","Net")</f>
        <v>Net</v>
      </c>
      <c r="E9" s="15"/>
      <c r="F9" s="13"/>
    </row>
    <row r="10" spans="1:6" ht="12.75">
      <c r="A10" s="6">
        <v>2</v>
      </c>
      <c r="B10" s="16" t="s">
        <v>38</v>
      </c>
      <c r="C10" s="1"/>
      <c r="D10" s="17">
        <f>IF(D31&lt;0,D36,D37)</f>
        <v>23.2920028661329</v>
      </c>
      <c r="E10" s="17"/>
      <c r="F10" s="13" t="str">
        <f>+"["&amp;A36&amp;"] or ["&amp;A37&amp;"]"</f>
        <v>[15] or [16]</v>
      </c>
    </row>
    <row r="11" spans="1:6" ht="12.75">
      <c r="A11" s="6">
        <v>3</v>
      </c>
      <c r="B11" s="13" t="s">
        <v>39</v>
      </c>
      <c r="C11" s="1"/>
      <c r="D11" s="14">
        <f>+D43</f>
        <v>1.5312489871505146</v>
      </c>
      <c r="E11" s="14"/>
      <c r="F11" s="13" t="str">
        <f>+"["&amp;A43&amp;"]"</f>
        <v>[17]</v>
      </c>
    </row>
    <row r="12" spans="1:6" ht="12.75">
      <c r="A12" s="6"/>
      <c r="B12" s="1"/>
      <c r="C12" s="1"/>
      <c r="D12" s="1"/>
      <c r="E12" s="1"/>
      <c r="F12" s="1"/>
    </row>
    <row r="13" spans="1:6" ht="12.75">
      <c r="A13" s="6">
        <v>4</v>
      </c>
      <c r="B13" s="16" t="s">
        <v>141</v>
      </c>
      <c r="C13" s="1"/>
      <c r="D13" s="17">
        <f>ROUND(D8*D10*D11,2)</f>
        <v>2.71</v>
      </c>
      <c r="E13" s="1"/>
      <c r="F13" s="13" t="str">
        <f>"["&amp;A8&amp;"] * ["&amp;A10&amp;"] * ["&amp;A11&amp;"]"</f>
        <v>[1] * [2] * [3]</v>
      </c>
    </row>
    <row r="14" spans="1:6" ht="12.75">
      <c r="A14" s="6"/>
      <c r="B14" s="1"/>
      <c r="C14" s="1"/>
      <c r="D14" s="1"/>
      <c r="E14" s="1"/>
      <c r="F14" s="1"/>
    </row>
    <row r="15" spans="1:5" ht="12.75">
      <c r="A15" s="4"/>
      <c r="D15" s="38"/>
      <c r="E15" s="38"/>
    </row>
    <row r="16" spans="1:6" ht="12.75">
      <c r="A16" s="39" t="s">
        <v>40</v>
      </c>
      <c r="B16" s="40"/>
      <c r="C16" s="40"/>
      <c r="D16" s="40"/>
      <c r="E16" s="40"/>
      <c r="F16" s="40"/>
    </row>
    <row r="17" spans="1:6" ht="12.75">
      <c r="A17" s="7" t="s">
        <v>34</v>
      </c>
      <c r="B17" s="8" t="s">
        <v>35</v>
      </c>
      <c r="C17" s="9"/>
      <c r="D17" s="7"/>
      <c r="E17" s="7"/>
      <c r="F17" s="8" t="s">
        <v>0</v>
      </c>
    </row>
    <row r="18" spans="1:6" ht="12.75">
      <c r="A18" s="10"/>
      <c r="B18" s="11"/>
      <c r="C18" s="12"/>
      <c r="D18" s="10"/>
      <c r="E18" s="10"/>
      <c r="F18" s="11"/>
    </row>
    <row r="19" spans="1:6" ht="12.75">
      <c r="A19" s="6">
        <f>+MAX(A7:A18)+1</f>
        <v>5</v>
      </c>
      <c r="B19" s="13" t="s">
        <v>41</v>
      </c>
      <c r="C19" s="1"/>
      <c r="D19" s="41">
        <v>1</v>
      </c>
      <c r="E19" s="18"/>
      <c r="F19" s="19" t="s">
        <v>144</v>
      </c>
    </row>
    <row r="20" spans="1:6" ht="12.75">
      <c r="A20" s="6">
        <f>+MAX(A8:A19)+1</f>
        <v>6</v>
      </c>
      <c r="B20" s="13" t="s">
        <v>42</v>
      </c>
      <c r="C20" s="1"/>
      <c r="D20" s="42">
        <v>13.17</v>
      </c>
      <c r="E20" s="18"/>
      <c r="F20" s="19" t="s">
        <v>144</v>
      </c>
    </row>
    <row r="21" spans="1:6" ht="12.75">
      <c r="A21" s="6"/>
      <c r="B21" s="1"/>
      <c r="C21" s="1"/>
      <c r="D21" s="1"/>
      <c r="E21" s="1"/>
      <c r="F21" s="1"/>
    </row>
    <row r="22" spans="1:6" ht="12.75">
      <c r="A22" s="6">
        <f>+MAX(A10:A21)+1</f>
        <v>7</v>
      </c>
      <c r="B22" s="13" t="s">
        <v>43</v>
      </c>
      <c r="C22" s="1"/>
      <c r="D22" s="20">
        <f>D19/D20</f>
        <v>0.07593014426727411</v>
      </c>
      <c r="E22" s="20"/>
      <c r="F22" s="13" t="str">
        <f>" ["&amp;A19&amp;"] / ["&amp;A20&amp;"]"</f>
        <v> [5] / [6]</v>
      </c>
    </row>
    <row r="23" ht="12.75">
      <c r="A23" s="4"/>
    </row>
    <row r="24" spans="1:6" ht="12.75">
      <c r="A24" s="39" t="s">
        <v>44</v>
      </c>
      <c r="B24" s="39"/>
      <c r="C24" s="39"/>
      <c r="D24" s="39"/>
      <c r="E24" s="39"/>
      <c r="F24" s="39"/>
    </row>
    <row r="25" spans="1:6" ht="12.75">
      <c r="A25" s="7" t="s">
        <v>34</v>
      </c>
      <c r="B25" s="8" t="s">
        <v>35</v>
      </c>
      <c r="C25" s="9"/>
      <c r="D25" s="7"/>
      <c r="E25" s="7"/>
      <c r="F25" s="8" t="s">
        <v>0</v>
      </c>
    </row>
    <row r="26" spans="1:6" ht="12.75">
      <c r="A26" s="10"/>
      <c r="B26" s="11"/>
      <c r="C26" s="12"/>
      <c r="D26" s="10"/>
      <c r="E26" s="10"/>
      <c r="F26" s="11"/>
    </row>
    <row r="27" spans="1:6" ht="12.75">
      <c r="A27" s="6">
        <f>+MAX(A15:A26)+1</f>
        <v>8</v>
      </c>
      <c r="B27" s="13" t="s">
        <v>10</v>
      </c>
      <c r="C27" s="1"/>
      <c r="D27" s="21">
        <f>+'Input Financial Data-MR'!C17</f>
        <v>166755</v>
      </c>
      <c r="E27" s="21"/>
      <c r="F27" s="22" t="s">
        <v>11</v>
      </c>
    </row>
    <row r="28" spans="1:6" ht="12.75">
      <c r="A28" s="6">
        <f>+MAX(A15:A27)+1</f>
        <v>9</v>
      </c>
      <c r="B28" s="16" t="s">
        <v>12</v>
      </c>
      <c r="C28" s="1"/>
      <c r="D28" s="21">
        <f>+'Input Financial Data-MR'!C21</f>
        <v>157865</v>
      </c>
      <c r="E28" s="21"/>
      <c r="F28" s="22" t="s">
        <v>13</v>
      </c>
    </row>
    <row r="29" spans="1:6" ht="12.75">
      <c r="A29" s="6">
        <f>+MAX(A15:A28)+1</f>
        <v>10</v>
      </c>
      <c r="B29" s="22" t="s">
        <v>14</v>
      </c>
      <c r="C29" s="1"/>
      <c r="D29" s="21">
        <v>0</v>
      </c>
      <c r="E29" s="21"/>
      <c r="F29" s="22" t="s">
        <v>15</v>
      </c>
    </row>
    <row r="30" spans="1:6" ht="12.75">
      <c r="A30" s="6">
        <f>+MAX(A16:A29)+1</f>
        <v>11</v>
      </c>
      <c r="B30" s="22" t="s">
        <v>16</v>
      </c>
      <c r="C30" s="1"/>
      <c r="D30" s="21">
        <f>+'Input Financial Data-MR'!C31</f>
        <v>1020</v>
      </c>
      <c r="E30" s="21"/>
      <c r="F30" s="22" t="s">
        <v>17</v>
      </c>
    </row>
    <row r="31" spans="1:6" ht="12.75">
      <c r="A31" s="6">
        <f>+MAX(A17:A30)+1</f>
        <v>12</v>
      </c>
      <c r="B31" s="16" t="s">
        <v>45</v>
      </c>
      <c r="C31" s="1"/>
      <c r="D31" s="23">
        <f>D27-D28-D29-D30</f>
        <v>7870</v>
      </c>
      <c r="E31" s="23"/>
      <c r="F31" s="22" t="str">
        <f>"["&amp;A27&amp;"] - { ["&amp;A28&amp;"] + ["&amp;A29&amp;"] + ["&amp;A30&amp;"] }"</f>
        <v>[8] - { [9] + [10] + [11] }</v>
      </c>
    </row>
    <row r="32" spans="1:5" ht="12.75">
      <c r="A32" s="6"/>
      <c r="B32" s="2"/>
      <c r="C32" s="1"/>
      <c r="D32" s="1"/>
      <c r="E32" s="1"/>
    </row>
    <row r="33" spans="1:6" ht="12.75">
      <c r="A33" s="6">
        <f>+MAX(A19:A32)+1</f>
        <v>13</v>
      </c>
      <c r="B33" s="22" t="s">
        <v>25</v>
      </c>
      <c r="C33" s="1"/>
      <c r="D33" s="21">
        <f>+'Input Financial Data-MR'!C48</f>
        <v>320990</v>
      </c>
      <c r="E33" s="24"/>
      <c r="F33" s="22" t="s">
        <v>26</v>
      </c>
    </row>
    <row r="34" spans="1:6" ht="12.75">
      <c r="A34" s="6">
        <f>+MAX(A20:A33)+1</f>
        <v>14</v>
      </c>
      <c r="B34" s="22" t="s">
        <v>46</v>
      </c>
      <c r="C34" s="1"/>
      <c r="D34" s="42">
        <v>0.95</v>
      </c>
      <c r="E34" s="25"/>
      <c r="F34" s="19" t="s">
        <v>144</v>
      </c>
    </row>
    <row r="35" spans="1:6" ht="12.75">
      <c r="A35" s="6"/>
      <c r="B35" s="1"/>
      <c r="C35" s="1"/>
      <c r="D35" s="1"/>
      <c r="E35" s="1"/>
      <c r="F35" s="26"/>
    </row>
    <row r="36" spans="1:6" ht="12.75">
      <c r="A36" s="6">
        <f>+MAX(A22:A35)+1</f>
        <v>15</v>
      </c>
      <c r="B36" s="13" t="s">
        <v>47</v>
      </c>
      <c r="C36" s="1"/>
      <c r="D36" s="17">
        <f>D27/D33*D34*1000</f>
        <v>493.527056917661</v>
      </c>
      <c r="E36" s="17"/>
      <c r="F36" s="27" t="str">
        <f>"["&amp;A27&amp;"] / ["&amp;A33&amp;"] * ["&amp;A34&amp;"] * 1000"</f>
        <v>[8] / [13] * [14] * 1000</v>
      </c>
    </row>
    <row r="37" spans="1:6" ht="12.75">
      <c r="A37" s="6">
        <f>+MAX(A23:A36)+1</f>
        <v>16</v>
      </c>
      <c r="B37" s="16" t="s">
        <v>48</v>
      </c>
      <c r="C37" s="1"/>
      <c r="D37" s="17">
        <f>+D31/D33*D34*1000</f>
        <v>23.2920028661329</v>
      </c>
      <c r="E37" s="17"/>
      <c r="F37" s="27" t="str">
        <f>"["&amp;A31&amp;"] / ["&amp;A33&amp;"] * ["&amp;A34&amp;"] * 1000"</f>
        <v>[12] / [13] * [14] * 1000</v>
      </c>
    </row>
    <row r="38" spans="1:6" ht="25.5">
      <c r="A38" s="6"/>
      <c r="B38" s="16" t="s">
        <v>37</v>
      </c>
      <c r="C38" s="1"/>
      <c r="D38" s="28" t="str">
        <f>IF(D37&lt;0,$B$36,$B$37)</f>
        <v>Net Cost per Bare Pole</v>
      </c>
      <c r="E38" s="28"/>
      <c r="F38" s="27"/>
    </row>
    <row r="39" spans="1:6" ht="12.75" hidden="1">
      <c r="A39" s="29"/>
      <c r="F39" s="13"/>
    </row>
    <row r="40" spans="1:6" ht="12.75">
      <c r="A40" s="39" t="s">
        <v>49</v>
      </c>
      <c r="B40" s="39"/>
      <c r="C40" s="39"/>
      <c r="D40" s="39"/>
      <c r="E40" s="39"/>
      <c r="F40" s="39"/>
    </row>
    <row r="41" spans="1:6" ht="12.75">
      <c r="A41" s="7" t="s">
        <v>34</v>
      </c>
      <c r="B41" s="8" t="s">
        <v>35</v>
      </c>
      <c r="C41" s="9"/>
      <c r="D41" s="7"/>
      <c r="E41" s="7"/>
      <c r="F41" s="8" t="s">
        <v>0</v>
      </c>
    </row>
    <row r="42" spans="1:6" ht="12.75">
      <c r="A42" s="10"/>
      <c r="B42" s="11" t="s">
        <v>143</v>
      </c>
      <c r="C42" s="12"/>
      <c r="D42" s="30" t="str">
        <f>+IF(D31&lt;0,"Gross","Net")</f>
        <v>Net</v>
      </c>
      <c r="E42" s="30"/>
      <c r="F42" s="11"/>
    </row>
    <row r="43" spans="1:6" ht="12.75">
      <c r="A43" s="6">
        <f>+MAX(A29:A42)+1</f>
        <v>17</v>
      </c>
      <c r="B43" s="13" t="s">
        <v>50</v>
      </c>
      <c r="C43" s="1"/>
      <c r="D43" s="14">
        <f>D47+D51+D56+D60+IF(D31&lt;0,D63,D62)</f>
        <v>1.5312489871505146</v>
      </c>
      <c r="E43" s="14"/>
      <c r="F43" s="13" t="str">
        <f>+"["&amp;A47&amp;"] + ["&amp;A51&amp;"] + ["&amp;A56&amp;"] + ["&amp;A60&amp;"] + {["&amp;A62&amp;"] or ["&amp;A63&amp;"]}"</f>
        <v>[20] + [23] + [27] + [30] + {[31] or [32]}</v>
      </c>
    </row>
    <row r="44" spans="1:6" ht="12.75">
      <c r="A44" s="31"/>
      <c r="B44" s="13"/>
      <c r="C44" s="1"/>
      <c r="D44" s="1"/>
      <c r="E44" s="1"/>
      <c r="F44" s="13"/>
    </row>
    <row r="45" spans="1:6" ht="12.75">
      <c r="A45" s="6">
        <f>+MAX(A31:A44)+1</f>
        <v>18</v>
      </c>
      <c r="B45" s="26" t="s">
        <v>20</v>
      </c>
      <c r="C45" s="1"/>
      <c r="D45" s="21">
        <f>+'Input Financial Data-MR'!C43</f>
        <v>68856</v>
      </c>
      <c r="E45" s="21"/>
      <c r="F45" s="22" t="s">
        <v>21</v>
      </c>
    </row>
    <row r="46" spans="1:6" ht="12.75">
      <c r="A46" s="6">
        <f>+MAX(A32:A45)+1</f>
        <v>19</v>
      </c>
      <c r="B46" s="22" t="s">
        <v>51</v>
      </c>
      <c r="C46" s="1"/>
      <c r="D46" s="23">
        <f>IF(D31&lt;0,D69,D73)</f>
        <v>438864</v>
      </c>
      <c r="E46" s="23"/>
      <c r="F46" s="13" t="str">
        <f>+"["&amp;A69&amp;"] or ["&amp;A73&amp;"]"</f>
        <v>[A1] or [A5]</v>
      </c>
    </row>
    <row r="47" spans="1:6" ht="12.75">
      <c r="A47" s="6">
        <f>+MAX(A33:A46)+1</f>
        <v>20</v>
      </c>
      <c r="B47" s="27" t="s">
        <v>52</v>
      </c>
      <c r="C47" s="1"/>
      <c r="D47" s="20">
        <f>D45/D46</f>
        <v>0.15689598600021876</v>
      </c>
      <c r="E47" s="20"/>
      <c r="F47" s="13" t="str">
        <f>"["&amp;A45&amp;"] / ["&amp;A46&amp;"]"</f>
        <v>[18] / [19]</v>
      </c>
    </row>
    <row r="48" spans="1:6" ht="12.75">
      <c r="A48" s="6"/>
      <c r="B48" s="2"/>
      <c r="C48" s="1"/>
      <c r="D48" s="1"/>
      <c r="E48" s="1"/>
      <c r="F48" s="1"/>
    </row>
    <row r="49" spans="1:6" ht="12.75">
      <c r="A49" s="6">
        <f>+MAX(A35:A48)+1</f>
        <v>21</v>
      </c>
      <c r="B49" s="16" t="s">
        <v>53</v>
      </c>
      <c r="C49" s="1"/>
      <c r="D49" s="21">
        <f>+'Input Financial Data-MR'!C35</f>
        <v>2055</v>
      </c>
      <c r="E49" s="21"/>
      <c r="F49" s="22" t="s">
        <v>24</v>
      </c>
    </row>
    <row r="50" spans="1:6" ht="12.75">
      <c r="A50" s="6">
        <f>+MAX(A36:A49)+1</f>
        <v>22</v>
      </c>
      <c r="B50" s="16" t="s">
        <v>54</v>
      </c>
      <c r="C50" s="1"/>
      <c r="D50" s="23">
        <f>IF(D31&lt;0,D27,D31)</f>
        <v>7870</v>
      </c>
      <c r="E50" s="23"/>
      <c r="F50" s="16" t="str">
        <f>+"["&amp;A27&amp;"] or ["&amp;A31&amp;"]"</f>
        <v>[8] or [12]</v>
      </c>
    </row>
    <row r="51" spans="1:6" ht="12.75">
      <c r="A51" s="6">
        <f>+MAX(A37:A50)+1</f>
        <v>23</v>
      </c>
      <c r="B51" s="16" t="s">
        <v>55</v>
      </c>
      <c r="C51" s="1"/>
      <c r="D51" s="20">
        <f>D49/D50</f>
        <v>0.2611181702668361</v>
      </c>
      <c r="E51" s="20"/>
      <c r="F51" s="13" t="str">
        <f>"["&amp;A49&amp;"] / ["&amp;A50&amp;"]"</f>
        <v>[21] / [22]</v>
      </c>
    </row>
    <row r="52" spans="1:6" ht="12.75">
      <c r="A52" s="6"/>
      <c r="B52" s="1"/>
      <c r="C52" s="1"/>
      <c r="D52" s="1"/>
      <c r="E52" s="1"/>
      <c r="F52" s="1"/>
    </row>
    <row r="53" spans="1:6" ht="12.75">
      <c r="A53" s="6">
        <f>+MAX(A39:A52)+1</f>
        <v>24</v>
      </c>
      <c r="B53" s="26" t="s">
        <v>18</v>
      </c>
      <c r="C53" s="1"/>
      <c r="D53" s="32">
        <f>+'Input Financial Data-MR'!C24/100</f>
        <v>0.053</v>
      </c>
      <c r="E53" s="32"/>
      <c r="F53" s="26" t="s">
        <v>19</v>
      </c>
    </row>
    <row r="54" spans="1:6" ht="12.75">
      <c r="A54" s="6">
        <f>+MAX(A40:A53)+1</f>
        <v>25</v>
      </c>
      <c r="B54" s="26" t="s">
        <v>10</v>
      </c>
      <c r="C54" s="1"/>
      <c r="D54" s="23">
        <f>D27</f>
        <v>166755</v>
      </c>
      <c r="E54" s="23"/>
      <c r="F54" s="13" t="str">
        <f>+"["&amp;A27&amp;"]"</f>
        <v>[8]</v>
      </c>
    </row>
    <row r="55" spans="1:6" ht="12.75">
      <c r="A55" s="6">
        <f>+MAX(A41:A54)+1</f>
        <v>26</v>
      </c>
      <c r="B55" s="26" t="s">
        <v>45</v>
      </c>
      <c r="C55" s="1"/>
      <c r="D55" s="23">
        <f>+D31</f>
        <v>7870</v>
      </c>
      <c r="E55" s="23"/>
      <c r="F55" s="13" t="str">
        <f>+"["&amp;A31&amp;"]"</f>
        <v>[12]</v>
      </c>
    </row>
    <row r="56" spans="1:6" ht="12.75">
      <c r="A56" s="6">
        <f>+MAX(A42:A55)+1</f>
        <v>27</v>
      </c>
      <c r="B56" s="22" t="s">
        <v>56</v>
      </c>
      <c r="C56" s="1"/>
      <c r="D56" s="20">
        <f>MAX(D53,D53*(D54/D55))</f>
        <v>1.1230006353240152</v>
      </c>
      <c r="E56" s="20"/>
      <c r="F56" s="13" t="str">
        <f>"Max({["&amp;A53&amp;"] * ["&amp;A54&amp;"] / ["&amp;A55&amp;"]} and ["&amp;A53&amp;"])"</f>
        <v>Max({[24] * [25] / [26]} and [24])</v>
      </c>
    </row>
    <row r="57" spans="1:6" ht="12.75">
      <c r="A57" s="6"/>
      <c r="B57" s="1"/>
      <c r="C57" s="1"/>
      <c r="D57" s="1"/>
      <c r="E57" s="1"/>
      <c r="F57" s="1"/>
    </row>
    <row r="58" spans="1:6" ht="12.75">
      <c r="A58" s="6">
        <f>+MAX(A44:A57)+1</f>
        <v>28</v>
      </c>
      <c r="B58" s="13" t="s">
        <v>22</v>
      </c>
      <c r="C58" s="1"/>
      <c r="D58" s="21">
        <f>+'Input Financial Data-MR'!C44</f>
        <v>-49818</v>
      </c>
      <c r="E58" s="21"/>
      <c r="F58" s="22" t="s">
        <v>23</v>
      </c>
    </row>
    <row r="59" spans="1:6" ht="12.75">
      <c r="A59" s="6">
        <f>+MAX(A45:A58)+1</f>
        <v>29</v>
      </c>
      <c r="B59" s="26" t="str">
        <f>+B46</f>
        <v>Investment - Total Plant in Service</v>
      </c>
      <c r="C59" s="1"/>
      <c r="D59" s="23">
        <f>+D46</f>
        <v>438864</v>
      </c>
      <c r="E59" s="23"/>
      <c r="F59" s="13" t="str">
        <f>+"["&amp;A69&amp;"] or ["&amp;A73&amp;"]"</f>
        <v>[A1] or [A5]</v>
      </c>
    </row>
    <row r="60" spans="1:6" ht="12.75">
      <c r="A60" s="6">
        <f>+MAX(A46:A59)+1</f>
        <v>30</v>
      </c>
      <c r="B60" s="13" t="s">
        <v>57</v>
      </c>
      <c r="C60" s="1"/>
      <c r="D60" s="20">
        <f>D58/D59</f>
        <v>-0.11351580444055562</v>
      </c>
      <c r="E60" s="20"/>
      <c r="F60" s="13" t="str">
        <f>"["&amp;A58&amp;"] / ["&amp;A59&amp;"]"</f>
        <v>[28] / [29]</v>
      </c>
    </row>
    <row r="61" spans="1:6" ht="12.75">
      <c r="A61" s="6"/>
      <c r="B61" s="1"/>
      <c r="C61" s="1"/>
      <c r="D61" s="1"/>
      <c r="E61" s="1"/>
      <c r="F61" s="1"/>
    </row>
    <row r="62" spans="1:6" ht="12.75">
      <c r="A62" s="6">
        <f>+MAX(A48:A61)+1</f>
        <v>31</v>
      </c>
      <c r="B62" s="27" t="s">
        <v>58</v>
      </c>
      <c r="C62" s="1"/>
      <c r="D62" s="83">
        <v>0.10375</v>
      </c>
      <c r="E62" s="32"/>
      <c r="F62" s="19" t="s">
        <v>144</v>
      </c>
    </row>
    <row r="63" spans="1:6" ht="12.75">
      <c r="A63" s="6">
        <f>+MAX(A49:A62)+1</f>
        <v>32</v>
      </c>
      <c r="B63" s="27" t="s">
        <v>59</v>
      </c>
      <c r="C63" s="1"/>
      <c r="D63" s="33" t="str">
        <f>IF(D31&lt;0,MAX(D62*D31/D27,-D62),"N/A")</f>
        <v>N/A</v>
      </c>
      <c r="E63" s="33"/>
      <c r="F63" s="13" t="str">
        <f>"Max({["&amp;A62&amp;"] * ["&amp;A31&amp;"] / ["&amp;A27&amp;"]} and -["&amp;A62&amp;"])"</f>
        <v>Max({[31] * [12] / [8]} and -[31])</v>
      </c>
    </row>
    <row r="64" spans="1:6" ht="12.75">
      <c r="A64" s="4"/>
      <c r="B64" s="3"/>
      <c r="D64" s="84"/>
      <c r="E64" s="34"/>
      <c r="F64" s="3"/>
    </row>
    <row r="65" spans="1:6" ht="12.75">
      <c r="A65" s="39" t="s">
        <v>60</v>
      </c>
      <c r="B65" s="39"/>
      <c r="C65" s="39"/>
      <c r="D65" s="39"/>
      <c r="E65" s="39"/>
      <c r="F65" s="39"/>
    </row>
    <row r="66" spans="1:6" ht="12.75">
      <c r="A66" s="7" t="s">
        <v>34</v>
      </c>
      <c r="B66" s="8" t="s">
        <v>35</v>
      </c>
      <c r="C66" s="9"/>
      <c r="D66" s="8"/>
      <c r="E66" s="8"/>
      <c r="F66" s="8" t="s">
        <v>0</v>
      </c>
    </row>
    <row r="67" spans="1:6" ht="12.75">
      <c r="A67" s="10"/>
      <c r="B67" s="11"/>
      <c r="C67" s="12"/>
      <c r="D67" s="11"/>
      <c r="E67" s="11"/>
      <c r="F67" s="11"/>
    </row>
    <row r="68" spans="1:6" ht="12.75">
      <c r="A68" s="6"/>
      <c r="B68" s="35"/>
      <c r="C68" s="1"/>
      <c r="D68" s="1"/>
      <c r="E68" s="1"/>
      <c r="F68" s="1"/>
    </row>
    <row r="69" spans="1:6" ht="12.75">
      <c r="A69" s="31" t="s">
        <v>61</v>
      </c>
      <c r="B69" s="26" t="s">
        <v>1</v>
      </c>
      <c r="C69" s="1"/>
      <c r="D69" s="21">
        <f>+'Input Financial Data-MR'!C16</f>
        <v>3512156</v>
      </c>
      <c r="E69" s="21"/>
      <c r="F69" s="22" t="s">
        <v>2</v>
      </c>
    </row>
    <row r="70" spans="1:6" ht="12.75">
      <c r="A70" s="31" t="s">
        <v>62</v>
      </c>
      <c r="B70" s="26" t="s">
        <v>3</v>
      </c>
      <c r="C70" s="1"/>
      <c r="D70" s="21">
        <f>+'Input Financial Data-MR'!C20</f>
        <v>3051801</v>
      </c>
      <c r="E70" s="21"/>
      <c r="F70" s="22" t="s">
        <v>4</v>
      </c>
    </row>
    <row r="71" spans="1:6" ht="12.75">
      <c r="A71" s="31" t="s">
        <v>63</v>
      </c>
      <c r="B71" s="26" t="s">
        <v>5</v>
      </c>
      <c r="C71" s="1"/>
      <c r="D71" s="21">
        <f>+'Input Financial Data-MR'!C29</f>
        <v>0</v>
      </c>
      <c r="E71" s="21"/>
      <c r="F71" s="22" t="s">
        <v>6</v>
      </c>
    </row>
    <row r="72" spans="1:6" ht="12.75">
      <c r="A72" s="31" t="s">
        <v>64</v>
      </c>
      <c r="B72" s="26" t="s">
        <v>7</v>
      </c>
      <c r="C72" s="1"/>
      <c r="D72" s="21">
        <f>+'Input Financial Data-MR'!C33</f>
        <v>21491</v>
      </c>
      <c r="E72" s="21"/>
      <c r="F72" s="22" t="s">
        <v>8</v>
      </c>
    </row>
    <row r="73" spans="1:6" ht="12.75">
      <c r="A73" s="31" t="s">
        <v>65</v>
      </c>
      <c r="B73" s="26" t="s">
        <v>9</v>
      </c>
      <c r="C73" s="1"/>
      <c r="D73" s="36">
        <f>+D69-D70-D71-D72</f>
        <v>438864</v>
      </c>
      <c r="E73" s="36"/>
      <c r="F73" s="22" t="str">
        <f>"["&amp;A69&amp;"] - { ["&amp;A70&amp;"] + ["&amp;A71&amp;"] + ["&amp;A72&amp;"]}"</f>
        <v>[A1] - { [A2] + [A3] + [A4]}</v>
      </c>
    </row>
    <row r="74" ht="12.75">
      <c r="A74" s="37"/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xSplit="2" topLeftCell="C1" activePane="topRight" state="frozen"/>
      <selection pane="topLeft" activeCell="F37" sqref="F37"/>
      <selection pane="topRight" activeCell="A3" sqref="A3:F3"/>
    </sheetView>
  </sheetViews>
  <sheetFormatPr defaultColWidth="9.140625" defaultRowHeight="12.75"/>
  <cols>
    <col min="1" max="1" width="7.57421875" style="0" customWidth="1"/>
    <col min="2" max="2" width="64.421875" style="0" bestFit="1" customWidth="1"/>
    <col min="3" max="3" width="5.421875" style="0" bestFit="1" customWidth="1"/>
    <col min="4" max="4" width="15.00390625" style="0" customWidth="1"/>
    <col min="5" max="5" width="3.57421875" style="0" customWidth="1"/>
    <col min="6" max="6" width="34.57421875" style="0" customWidth="1"/>
  </cols>
  <sheetData>
    <row r="1" spans="1:6" ht="15">
      <c r="A1" s="86" t="s">
        <v>138</v>
      </c>
      <c r="B1" s="86"/>
      <c r="C1" s="86"/>
      <c r="D1" s="86"/>
      <c r="E1" s="86"/>
      <c r="F1" s="86"/>
    </row>
    <row r="2" spans="1:6" ht="15">
      <c r="A2" s="87" t="s">
        <v>77</v>
      </c>
      <c r="B2" s="87"/>
      <c r="C2" s="87"/>
      <c r="D2" s="87"/>
      <c r="E2" s="87"/>
      <c r="F2" s="87"/>
    </row>
    <row r="3" spans="1:7" ht="23.25" customHeight="1">
      <c r="A3" s="99"/>
      <c r="B3" s="99"/>
      <c r="C3" s="99"/>
      <c r="D3" s="99"/>
      <c r="E3" s="99"/>
      <c r="F3" s="99"/>
      <c r="G3" s="5"/>
    </row>
    <row r="4" ht="12.75">
      <c r="B4" s="5"/>
    </row>
    <row r="5" spans="1:6" ht="12.75">
      <c r="A5" s="39" t="s">
        <v>87</v>
      </c>
      <c r="B5" s="39"/>
      <c r="C5" s="39"/>
      <c r="D5" s="39"/>
      <c r="E5" s="39"/>
      <c r="F5" s="39"/>
    </row>
    <row r="6" spans="1:6" ht="12.75">
      <c r="A6" s="7" t="s">
        <v>34</v>
      </c>
      <c r="B6" s="8" t="s">
        <v>35</v>
      </c>
      <c r="C6" s="9"/>
      <c r="D6" s="7"/>
      <c r="E6" s="7"/>
      <c r="F6" s="8" t="s">
        <v>0</v>
      </c>
    </row>
    <row r="7" spans="1:6" ht="12.75">
      <c r="A7" s="10"/>
      <c r="B7" s="11"/>
      <c r="C7" s="12"/>
      <c r="D7" s="10"/>
      <c r="E7" s="10"/>
      <c r="F7" s="11"/>
    </row>
    <row r="8" spans="1:6" ht="12.75">
      <c r="A8" s="6"/>
      <c r="B8" s="16" t="s">
        <v>37</v>
      </c>
      <c r="C8" s="1"/>
      <c r="D8" s="15" t="str">
        <f>IF(D23&lt;0,"Gross","Net")</f>
        <v>Net</v>
      </c>
      <c r="E8" s="15"/>
      <c r="F8" s="13"/>
    </row>
    <row r="9" spans="1:6" ht="12.75">
      <c r="A9" s="6">
        <v>1</v>
      </c>
      <c r="B9" s="16" t="s">
        <v>66</v>
      </c>
      <c r="C9" s="1"/>
      <c r="D9" s="17">
        <f>IF(D23&lt;0,D28,D29)</f>
        <v>2.2845946519607327</v>
      </c>
      <c r="E9" s="17"/>
      <c r="F9" s="13" t="str">
        <f>+"["&amp;A28&amp;"] or ["&amp;A29&amp;"]"</f>
        <v>[12] or [13]</v>
      </c>
    </row>
    <row r="10" spans="1:6" ht="12.75">
      <c r="A10" s="6">
        <v>2</v>
      </c>
      <c r="B10" s="13" t="s">
        <v>67</v>
      </c>
      <c r="C10" s="1"/>
      <c r="D10" s="14">
        <f>+D35</f>
        <v>0.18679422282710212</v>
      </c>
      <c r="E10" s="14"/>
      <c r="F10" s="13" t="str">
        <f>+"["&amp;A35&amp;"]"</f>
        <v>[14]</v>
      </c>
    </row>
    <row r="11" spans="1:6" ht="12.75">
      <c r="A11" s="6"/>
      <c r="B11" s="1"/>
      <c r="C11" s="1"/>
      <c r="D11" s="17"/>
      <c r="E11" s="1"/>
      <c r="F11" s="1"/>
    </row>
    <row r="12" spans="1:6" ht="12.75">
      <c r="A12" s="6">
        <v>3</v>
      </c>
      <c r="B12" s="16" t="s">
        <v>132</v>
      </c>
      <c r="C12" s="1"/>
      <c r="D12" s="17">
        <f>ROUND(D9*D10/2,2)</f>
        <v>0.21</v>
      </c>
      <c r="E12" s="1"/>
      <c r="F12" s="13" t="str">
        <f>"["&amp;A9&amp;"] * ["&amp;A10&amp;"] / 2 "</f>
        <v>[1] * [2] / 2 </v>
      </c>
    </row>
    <row r="13" spans="1:6" ht="12.75">
      <c r="A13" s="6">
        <v>4</v>
      </c>
      <c r="B13" s="16" t="s">
        <v>133</v>
      </c>
      <c r="C13" s="1"/>
      <c r="D13" s="17">
        <f>+ROUND(D9*D10/3,2)</f>
        <v>0.14</v>
      </c>
      <c r="E13" s="1"/>
      <c r="F13" s="13" t="str">
        <f>"["&amp;A9&amp;"] * ["&amp;A10&amp;"] / 3"</f>
        <v>[1] * [2] / 3</v>
      </c>
    </row>
    <row r="14" spans="1:6" ht="12.75">
      <c r="A14" s="6"/>
      <c r="B14" s="1"/>
      <c r="C14" s="1"/>
      <c r="D14" s="17"/>
      <c r="E14" s="1"/>
      <c r="F14" s="1"/>
    </row>
    <row r="15" spans="1:5" ht="12.75">
      <c r="A15" s="4"/>
      <c r="B15" s="16"/>
      <c r="D15" s="38"/>
      <c r="E15" s="38"/>
    </row>
    <row r="16" spans="1:6" ht="12.75">
      <c r="A16" s="39" t="s">
        <v>68</v>
      </c>
      <c r="B16" s="40"/>
      <c r="C16" s="40"/>
      <c r="D16" s="40"/>
      <c r="E16" s="40"/>
      <c r="F16" s="40"/>
    </row>
    <row r="17" spans="1:6" ht="12.75">
      <c r="A17" s="7" t="s">
        <v>34</v>
      </c>
      <c r="B17" s="8" t="s">
        <v>35</v>
      </c>
      <c r="C17" s="9"/>
      <c r="D17" s="7"/>
      <c r="E17" s="7"/>
      <c r="F17" s="8" t="s">
        <v>0</v>
      </c>
    </row>
    <row r="18" spans="1:6" ht="12.75">
      <c r="A18" s="10"/>
      <c r="B18" s="11"/>
      <c r="C18" s="12"/>
      <c r="D18" s="10"/>
      <c r="E18" s="10"/>
      <c r="F18" s="11"/>
    </row>
    <row r="19" spans="1:6" ht="10.5" customHeight="1">
      <c r="A19" s="6">
        <f>+MAX(A9:A18)+1</f>
        <v>5</v>
      </c>
      <c r="B19" s="13" t="s">
        <v>27</v>
      </c>
      <c r="C19" s="1"/>
      <c r="D19" s="21">
        <f>+'Input Financial Data-MR'!C18</f>
        <v>167531</v>
      </c>
      <c r="E19" s="21"/>
      <c r="F19" s="22" t="s">
        <v>80</v>
      </c>
    </row>
    <row r="20" spans="1:6" ht="12.75">
      <c r="A20" s="6">
        <f>+MAX(A10:A19)+1</f>
        <v>6</v>
      </c>
      <c r="B20" s="16" t="s">
        <v>28</v>
      </c>
      <c r="C20" s="1"/>
      <c r="D20" s="21">
        <f>+'Input Financial Data-MR'!C22</f>
        <v>72679</v>
      </c>
      <c r="E20" s="21"/>
      <c r="F20" s="22" t="s">
        <v>81</v>
      </c>
    </row>
    <row r="21" spans="1:6" ht="12.75">
      <c r="A21" s="6">
        <f>+MAX(A11:A20)+1</f>
        <v>7</v>
      </c>
      <c r="B21" s="22" t="s">
        <v>29</v>
      </c>
      <c r="C21" s="1"/>
      <c r="D21" s="21">
        <f>+'Input Financial Data-MR'!C28</f>
        <v>0</v>
      </c>
      <c r="E21" s="21"/>
      <c r="F21" s="22" t="s">
        <v>82</v>
      </c>
    </row>
    <row r="22" spans="1:6" ht="12.75">
      <c r="A22" s="6">
        <f>+MAX(A12:A21)+1</f>
        <v>8</v>
      </c>
      <c r="B22" s="22" t="s">
        <v>30</v>
      </c>
      <c r="C22" s="1"/>
      <c r="D22" s="21">
        <f>+'Input Financial Data-MR'!C32</f>
        <v>1025</v>
      </c>
      <c r="E22" s="21"/>
      <c r="F22" s="22" t="s">
        <v>83</v>
      </c>
    </row>
    <row r="23" spans="1:6" ht="12.75">
      <c r="A23" s="6">
        <f>+MAX(A13:A22)+1</f>
        <v>9</v>
      </c>
      <c r="B23" s="16" t="s">
        <v>69</v>
      </c>
      <c r="C23" s="1"/>
      <c r="D23" s="23">
        <f>D19-D20-D21-D22</f>
        <v>93827</v>
      </c>
      <c r="E23" s="23"/>
      <c r="F23" s="22" t="str">
        <f>"["&amp;A19&amp;"] - { ["&amp;A20&amp;"] + ["&amp;A21&amp;"] + ["&amp;A22&amp;"] }"</f>
        <v>[5] - { [6] + [7] + [8] }</v>
      </c>
    </row>
    <row r="24" spans="1:5" ht="12.75">
      <c r="A24" s="6"/>
      <c r="B24" s="2"/>
      <c r="C24" s="1"/>
      <c r="D24" s="1"/>
      <c r="E24" s="1"/>
    </row>
    <row r="25" spans="1:6" ht="12.75">
      <c r="A25" s="6">
        <f>+MAX(A15:A24)+1</f>
        <v>10</v>
      </c>
      <c r="B25" s="22" t="s">
        <v>32</v>
      </c>
      <c r="C25" s="1"/>
      <c r="D25" s="24">
        <f>+'Input Financial Data-MR'!C50</f>
        <v>12518</v>
      </c>
      <c r="E25" s="24"/>
      <c r="F25" s="22" t="s">
        <v>84</v>
      </c>
    </row>
    <row r="26" spans="1:6" ht="12.75">
      <c r="A26" s="6">
        <f>+MAX(A15:A25)+1</f>
        <v>11</v>
      </c>
      <c r="B26" s="22" t="s">
        <v>33</v>
      </c>
      <c r="C26" s="1"/>
      <c r="D26" s="24">
        <f>+D25*3280.83</f>
        <v>41069429.94</v>
      </c>
      <c r="E26" s="25"/>
      <c r="F26" s="27" t="str">
        <f>"["&amp;A25&amp;"] * 3,280.83"</f>
        <v>[10] * 3,280.83</v>
      </c>
    </row>
    <row r="27" spans="1:6" ht="12.75">
      <c r="A27" s="6"/>
      <c r="B27" s="1"/>
      <c r="C27" s="1"/>
      <c r="D27" s="1"/>
      <c r="E27" s="1"/>
      <c r="F27" s="26"/>
    </row>
    <row r="28" spans="1:6" ht="12.75">
      <c r="A28" s="6">
        <f>+MAX(A15:A27)+1</f>
        <v>12</v>
      </c>
      <c r="B28" s="13" t="s">
        <v>70</v>
      </c>
      <c r="C28" s="1"/>
      <c r="D28" s="17">
        <f>D19/D26*1000</f>
        <v>4.079214156241099</v>
      </c>
      <c r="E28" s="17"/>
      <c r="F28" s="27" t="str">
        <f>"["&amp;A19&amp;"] / ["&amp;A25&amp;"] * ["&amp;A26&amp;"] * 1000"</f>
        <v>[5] / [10] * [11] * 1000</v>
      </c>
    </row>
    <row r="29" spans="1:6" ht="12.75">
      <c r="A29" s="6">
        <f>+MAX(A15:A28)+1</f>
        <v>13</v>
      </c>
      <c r="B29" s="16" t="s">
        <v>71</v>
      </c>
      <c r="C29" s="1"/>
      <c r="D29" s="17">
        <f>+D23/D26*1000</f>
        <v>2.2845946519607327</v>
      </c>
      <c r="E29" s="17"/>
      <c r="F29" s="27" t="str">
        <f>"["&amp;A23&amp;"] / ["&amp;A25&amp;"] * ["&amp;A26&amp;"] *1000"</f>
        <v>[9] / [10] * [11] *1000</v>
      </c>
    </row>
    <row r="30" spans="1:6" ht="25.5">
      <c r="A30" s="6"/>
      <c r="B30" s="16" t="s">
        <v>37</v>
      </c>
      <c r="C30" s="1"/>
      <c r="D30" s="28" t="str">
        <f>IF(D29&lt;0,$B$28,$B$29)</f>
        <v>Net Cost per Duct Foot</v>
      </c>
      <c r="E30" s="28"/>
      <c r="F30" s="27"/>
    </row>
    <row r="31" spans="1:6" ht="12.75">
      <c r="A31" s="29"/>
      <c r="F31" s="13"/>
    </row>
    <row r="32" spans="1:6" ht="12.75">
      <c r="A32" s="39" t="s">
        <v>72</v>
      </c>
      <c r="B32" s="39"/>
      <c r="C32" s="39"/>
      <c r="D32" s="39"/>
      <c r="E32" s="39"/>
      <c r="F32" s="39"/>
    </row>
    <row r="33" spans="1:6" ht="12.75">
      <c r="A33" s="7" t="s">
        <v>34</v>
      </c>
      <c r="B33" s="8" t="s">
        <v>35</v>
      </c>
      <c r="C33" s="9"/>
      <c r="D33" s="7"/>
      <c r="E33" s="7"/>
      <c r="F33" s="8" t="s">
        <v>0</v>
      </c>
    </row>
    <row r="34" spans="1:6" ht="12.75">
      <c r="A34" s="10"/>
      <c r="B34" s="11" t="s">
        <v>143</v>
      </c>
      <c r="C34" s="12"/>
      <c r="D34" s="30" t="str">
        <f>+IF(D23&lt;0,"Gross","Net")</f>
        <v>Net</v>
      </c>
      <c r="E34" s="30"/>
      <c r="F34" s="11"/>
    </row>
    <row r="35" spans="1:6" ht="12.75">
      <c r="A35" s="6">
        <f>+MAX(A21:A34)+1</f>
        <v>14</v>
      </c>
      <c r="B35" s="13" t="s">
        <v>50</v>
      </c>
      <c r="C35" s="1"/>
      <c r="D35" s="14">
        <f>D39+D43+D48+D52+IF(D23&lt;0,D55,D54)</f>
        <v>0.18679422282710212</v>
      </c>
      <c r="E35" s="14"/>
      <c r="F35" s="13" t="str">
        <f>+"["&amp;A39&amp;"] + ["&amp;A43&amp;"] + ["&amp;A48&amp;"] + ["&amp;A52&amp;"] + {["&amp;A54&amp;"] or ["&amp;A55&amp;"]}"</f>
        <v>[17] + [20] + [24] + [27] + {[28] or [29]}</v>
      </c>
    </row>
    <row r="36" spans="1:6" ht="12.75">
      <c r="A36" s="31"/>
      <c r="B36" s="13"/>
      <c r="C36" s="1"/>
      <c r="D36" s="1"/>
      <c r="E36" s="1"/>
      <c r="F36" s="13"/>
    </row>
    <row r="37" spans="1:6" ht="12.75">
      <c r="A37" s="6">
        <f>+MAX(A23:A36)+1</f>
        <v>15</v>
      </c>
      <c r="B37" s="26" t="s">
        <v>20</v>
      </c>
      <c r="C37" s="1"/>
      <c r="D37" s="21">
        <f>+'Input Financial Data-MR'!C43</f>
        <v>68856</v>
      </c>
      <c r="E37" s="21"/>
      <c r="F37" s="22" t="s">
        <v>21</v>
      </c>
    </row>
    <row r="38" spans="1:6" ht="12.75">
      <c r="A38" s="6">
        <f>+MAX(A24:A37)+1</f>
        <v>16</v>
      </c>
      <c r="B38" s="22" t="s">
        <v>51</v>
      </c>
      <c r="C38" s="1"/>
      <c r="D38" s="23">
        <f>IF(D23&lt;0,D61,D65)</f>
        <v>438864</v>
      </c>
      <c r="E38" s="23"/>
      <c r="F38" s="13" t="str">
        <f>+"["&amp;A61&amp;"] or ["&amp;A65&amp;"]"</f>
        <v>[A1] or [A5]</v>
      </c>
    </row>
    <row r="39" spans="1:6" ht="12.75">
      <c r="A39" s="6">
        <f>+MAX(A25:A38)+1</f>
        <v>17</v>
      </c>
      <c r="B39" s="27" t="s">
        <v>52</v>
      </c>
      <c r="C39" s="1"/>
      <c r="D39" s="20">
        <f>D37/D38</f>
        <v>0.15689598600021876</v>
      </c>
      <c r="E39" s="20"/>
      <c r="F39" s="13" t="str">
        <f>"["&amp;A37&amp;"] / ["&amp;A38&amp;"]"</f>
        <v>[15] / [16]</v>
      </c>
    </row>
    <row r="40" spans="1:6" ht="12.75">
      <c r="A40" s="6"/>
      <c r="B40" s="2"/>
      <c r="C40" s="1"/>
      <c r="D40" s="1"/>
      <c r="E40" s="1"/>
      <c r="F40" s="1"/>
    </row>
    <row r="41" spans="1:6" ht="12.75">
      <c r="A41" s="6">
        <f>+MAX(A27:A40)+1</f>
        <v>18</v>
      </c>
      <c r="B41" s="16" t="s">
        <v>73</v>
      </c>
      <c r="C41" s="1"/>
      <c r="D41" s="21">
        <f>+'Input Financial Data-MR'!C39</f>
        <v>706</v>
      </c>
      <c r="E41" s="21"/>
      <c r="F41" s="22" t="s">
        <v>85</v>
      </c>
    </row>
    <row r="42" spans="1:6" ht="12.75">
      <c r="A42" s="6">
        <f>+MAX(A28:A41)+1</f>
        <v>19</v>
      </c>
      <c r="B42" s="16" t="s">
        <v>74</v>
      </c>
      <c r="C42" s="1"/>
      <c r="D42" s="23">
        <f>IF(D23&lt;0,D19,D23)</f>
        <v>93827</v>
      </c>
      <c r="E42" s="23"/>
      <c r="F42" s="16" t="str">
        <f>+"["&amp;A19&amp;"] or ["&amp;A23&amp;"]"</f>
        <v>[5] or [9]</v>
      </c>
    </row>
    <row r="43" spans="1:6" ht="12.75">
      <c r="A43" s="6">
        <f>+MAX(A29:A42)+1</f>
        <v>20</v>
      </c>
      <c r="B43" s="16" t="s">
        <v>55</v>
      </c>
      <c r="C43" s="1"/>
      <c r="D43" s="20">
        <f>D41/D42</f>
        <v>0.007524486555042792</v>
      </c>
      <c r="E43" s="20"/>
      <c r="F43" s="13" t="str">
        <f>"["&amp;A41&amp;"] / ["&amp;A42&amp;"]"</f>
        <v>[18] / [19]</v>
      </c>
    </row>
    <row r="44" spans="1:6" ht="12.75">
      <c r="A44" s="6"/>
      <c r="B44" s="1"/>
      <c r="C44" s="1"/>
      <c r="D44" s="1"/>
      <c r="E44" s="1"/>
      <c r="F44" s="1"/>
    </row>
    <row r="45" spans="1:6" ht="12.75">
      <c r="A45" s="6">
        <f>+MAX(A31:A44)+1</f>
        <v>21</v>
      </c>
      <c r="B45" s="26" t="s">
        <v>31</v>
      </c>
      <c r="C45" s="1"/>
      <c r="D45" s="32">
        <f>+'Input Financial Data-MR'!C25/100</f>
        <v>0.018000000000000002</v>
      </c>
      <c r="E45" s="32"/>
      <c r="F45" s="22" t="s">
        <v>86</v>
      </c>
    </row>
    <row r="46" spans="1:6" ht="12.75">
      <c r="A46" s="6">
        <f>+MAX(A32:A45)+1</f>
        <v>22</v>
      </c>
      <c r="B46" s="26" t="s">
        <v>27</v>
      </c>
      <c r="C46" s="1"/>
      <c r="D46" s="23">
        <f>D19</f>
        <v>167531</v>
      </c>
      <c r="E46" s="23"/>
      <c r="F46" s="13" t="str">
        <f>+"["&amp;A19&amp;"]"</f>
        <v>[5]</v>
      </c>
    </row>
    <row r="47" spans="1:6" ht="12.75">
      <c r="A47" s="6">
        <f>+MAX(A33:A46)+1</f>
        <v>23</v>
      </c>
      <c r="B47" s="26" t="s">
        <v>69</v>
      </c>
      <c r="C47" s="1"/>
      <c r="D47" s="23">
        <f>+D23</f>
        <v>93827</v>
      </c>
      <c r="E47" s="23"/>
      <c r="F47" s="13" t="str">
        <f>+"["&amp;A23&amp;"]"</f>
        <v>[9]</v>
      </c>
    </row>
    <row r="48" spans="1:6" ht="12.75">
      <c r="A48" s="6">
        <f>+MAX(A34:A47)+1</f>
        <v>24</v>
      </c>
      <c r="B48" s="22" t="s">
        <v>56</v>
      </c>
      <c r="C48" s="1"/>
      <c r="D48" s="20">
        <f>MAX(D45,D45*(D46/D47))</f>
        <v>0.03213955471239622</v>
      </c>
      <c r="E48" s="20"/>
      <c r="F48" s="13" t="str">
        <f>"Max({["&amp;A45&amp;"] * ["&amp;A46&amp;"] / ["&amp;A47&amp;"]} and ["&amp;A45&amp;"])"</f>
        <v>Max({[21] * [22] / [23]} and [21])</v>
      </c>
    </row>
    <row r="49" spans="1:6" ht="12.75">
      <c r="A49" s="6"/>
      <c r="B49" s="1"/>
      <c r="C49" s="1"/>
      <c r="D49" s="1"/>
      <c r="E49" s="1"/>
      <c r="F49" s="1"/>
    </row>
    <row r="50" spans="1:6" ht="12.75">
      <c r="A50" s="6">
        <f>+MAX(A36:A49)+1</f>
        <v>25</v>
      </c>
      <c r="B50" s="13" t="s">
        <v>22</v>
      </c>
      <c r="C50" s="1"/>
      <c r="D50" s="21">
        <f>+'Input Financial Data-MR'!C44</f>
        <v>-49818</v>
      </c>
      <c r="E50" s="21"/>
      <c r="F50" s="22" t="s">
        <v>23</v>
      </c>
    </row>
    <row r="51" spans="1:6" ht="12.75">
      <c r="A51" s="6">
        <f>+MAX(A37:A50)+1</f>
        <v>26</v>
      </c>
      <c r="B51" s="26" t="str">
        <f>+B38</f>
        <v>Investment - Total Plant in Service</v>
      </c>
      <c r="C51" s="1"/>
      <c r="D51" s="23">
        <f>+D38</f>
        <v>438864</v>
      </c>
      <c r="E51" s="23"/>
      <c r="F51" s="13" t="str">
        <f>+"["&amp;A61&amp;"] or ["&amp;A65&amp;"]"</f>
        <v>[A1] or [A5]</v>
      </c>
    </row>
    <row r="52" spans="1:6" ht="12.75">
      <c r="A52" s="6">
        <f>+MAX(A38:A51)+1</f>
        <v>27</v>
      </c>
      <c r="B52" s="13" t="s">
        <v>57</v>
      </c>
      <c r="C52" s="1"/>
      <c r="D52" s="20">
        <f>D50/D51</f>
        <v>-0.11351580444055562</v>
      </c>
      <c r="E52" s="20"/>
      <c r="F52" s="13" t="str">
        <f>"["&amp;A50&amp;"] / ["&amp;A51&amp;"]"</f>
        <v>[25] / [26]</v>
      </c>
    </row>
    <row r="53" spans="1:6" ht="12.75">
      <c r="A53" s="6"/>
      <c r="B53" s="1"/>
      <c r="C53" s="1"/>
      <c r="D53" s="1"/>
      <c r="E53" s="1"/>
      <c r="F53" s="1"/>
    </row>
    <row r="54" spans="1:6" ht="12.75">
      <c r="A54" s="6">
        <f>+MAX(A40:A53)+1</f>
        <v>28</v>
      </c>
      <c r="B54" s="27" t="s">
        <v>58</v>
      </c>
      <c r="C54" s="1"/>
      <c r="D54" s="83">
        <v>0.10375</v>
      </c>
      <c r="E54" s="32"/>
      <c r="F54" s="19" t="s">
        <v>144</v>
      </c>
    </row>
    <row r="55" spans="1:6" ht="12.75">
      <c r="A55" s="6">
        <f>+MAX(A41:A54)+1</f>
        <v>29</v>
      </c>
      <c r="B55" s="27" t="s">
        <v>75</v>
      </c>
      <c r="C55" s="1"/>
      <c r="D55" s="33" t="str">
        <f>IF(D23&lt;0,MAX(D54*D23/D19,-D54),"N/A")</f>
        <v>N/A</v>
      </c>
      <c r="E55" s="33"/>
      <c r="F55" s="13" t="str">
        <f>"Max({["&amp;A54&amp;"] * ["&amp;A23&amp;"] / ["&amp;A19&amp;"]} and -["&amp;A54&amp;"])"</f>
        <v>Max({[28] * [9] / [5]} and -[28])</v>
      </c>
    </row>
    <row r="56" spans="1:6" ht="12.75">
      <c r="A56" s="4"/>
      <c r="B56" s="3"/>
      <c r="D56" s="34"/>
      <c r="E56" s="34"/>
      <c r="F56" s="3"/>
    </row>
    <row r="57" spans="1:6" ht="12.75">
      <c r="A57" s="39" t="s">
        <v>76</v>
      </c>
      <c r="B57" s="39"/>
      <c r="C57" s="39"/>
      <c r="D57" s="39"/>
      <c r="E57" s="39"/>
      <c r="F57" s="39"/>
    </row>
    <row r="58" spans="1:6" ht="12.75">
      <c r="A58" s="7" t="s">
        <v>34</v>
      </c>
      <c r="B58" s="8" t="s">
        <v>35</v>
      </c>
      <c r="C58" s="9"/>
      <c r="D58" s="8"/>
      <c r="E58" s="8"/>
      <c r="F58" s="8" t="s">
        <v>0</v>
      </c>
    </row>
    <row r="59" spans="1:6" ht="12.75">
      <c r="A59" s="10"/>
      <c r="B59" s="11"/>
      <c r="C59" s="12"/>
      <c r="D59" s="11"/>
      <c r="E59" s="11"/>
      <c r="F59" s="11"/>
    </row>
    <row r="60" spans="1:6" ht="12.75">
      <c r="A60" s="6"/>
      <c r="B60" s="35"/>
      <c r="C60" s="1"/>
      <c r="D60" s="1"/>
      <c r="E60" s="1"/>
      <c r="F60" s="1"/>
    </row>
    <row r="61" spans="1:6" ht="12.75">
      <c r="A61" s="31" t="s">
        <v>61</v>
      </c>
      <c r="B61" s="26" t="s">
        <v>1</v>
      </c>
      <c r="C61" s="1"/>
      <c r="D61" s="21">
        <f>+'Input Financial Data-MR'!C16</f>
        <v>3512156</v>
      </c>
      <c r="E61" s="21"/>
      <c r="F61" s="22" t="s">
        <v>2</v>
      </c>
    </row>
    <row r="62" spans="1:6" ht="12.75">
      <c r="A62" s="31" t="s">
        <v>62</v>
      </c>
      <c r="B62" s="26" t="s">
        <v>3</v>
      </c>
      <c r="C62" s="1"/>
      <c r="D62" s="21">
        <f>+'Input Financial Data-MR'!C20</f>
        <v>3051801</v>
      </c>
      <c r="E62" s="21"/>
      <c r="F62" s="22" t="s">
        <v>4</v>
      </c>
    </row>
    <row r="63" spans="1:6" ht="12.75">
      <c r="A63" s="31" t="s">
        <v>63</v>
      </c>
      <c r="B63" s="26" t="s">
        <v>5</v>
      </c>
      <c r="C63" s="1"/>
      <c r="D63" s="21">
        <f>+'Input Financial Data-MR'!C29</f>
        <v>0</v>
      </c>
      <c r="E63" s="21"/>
      <c r="F63" s="22" t="s">
        <v>6</v>
      </c>
    </row>
    <row r="64" spans="1:6" ht="12.75">
      <c r="A64" s="31" t="s">
        <v>64</v>
      </c>
      <c r="B64" s="26" t="s">
        <v>7</v>
      </c>
      <c r="C64" s="1"/>
      <c r="D64" s="21">
        <f>+'Input Financial Data-MR'!C33</f>
        <v>21491</v>
      </c>
      <c r="E64" s="21"/>
      <c r="F64" s="22" t="s">
        <v>8</v>
      </c>
    </row>
    <row r="65" spans="1:6" ht="12.75">
      <c r="A65" s="31" t="s">
        <v>65</v>
      </c>
      <c r="B65" s="26" t="s">
        <v>9</v>
      </c>
      <c r="C65" s="1"/>
      <c r="D65" s="36">
        <f>+D61-D62-D63-D64</f>
        <v>438864</v>
      </c>
      <c r="E65" s="36"/>
      <c r="F65" s="22" t="str">
        <f>"["&amp;A61&amp;"] - { ["&amp;A62&amp;"] + ["&amp;A63&amp;"] + ["&amp;A64&amp;"]}"</f>
        <v>[A1] - { [A2] + [A3] + [A4]}</v>
      </c>
    </row>
    <row r="66" ht="12.75">
      <c r="A66" s="37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64"/>
  <sheetViews>
    <sheetView zoomScale="75" zoomScaleNormal="75" zoomScalePageLayoutView="0" workbookViewId="0" topLeftCell="A1">
      <selection activeCell="B55" sqref="B55"/>
    </sheetView>
  </sheetViews>
  <sheetFormatPr defaultColWidth="9.140625" defaultRowHeight="12.75"/>
  <cols>
    <col min="2" max="2" width="55.57421875" style="0" customWidth="1"/>
    <col min="3" max="3" width="12.57421875" style="0" customWidth="1"/>
  </cols>
  <sheetData>
    <row r="1" spans="1:3" ht="18">
      <c r="A1" s="90" t="s">
        <v>88</v>
      </c>
      <c r="B1" s="91"/>
      <c r="C1" s="92"/>
    </row>
    <row r="2" spans="1:3" ht="12.75">
      <c r="A2" s="93" t="s">
        <v>89</v>
      </c>
      <c r="B2" s="94"/>
      <c r="C2" s="95"/>
    </row>
    <row r="3" spans="1:3" ht="12.75">
      <c r="A3" s="50"/>
      <c r="B3" s="51"/>
      <c r="C3" s="52"/>
    </row>
    <row r="4" spans="1:3" ht="12.75">
      <c r="A4" s="96" t="s">
        <v>134</v>
      </c>
      <c r="B4" s="97"/>
      <c r="C4" s="98"/>
    </row>
    <row r="5" spans="1:3" ht="12.75">
      <c r="A5" s="96" t="s">
        <v>135</v>
      </c>
      <c r="B5" s="97"/>
      <c r="C5" s="98"/>
    </row>
    <row r="6" spans="1:3" ht="12.75">
      <c r="A6" s="96" t="s">
        <v>90</v>
      </c>
      <c r="B6" s="97"/>
      <c r="C6" s="98"/>
    </row>
    <row r="7" spans="1:3" ht="12.75">
      <c r="A7" s="53" t="s">
        <v>136</v>
      </c>
      <c r="C7" s="54"/>
    </row>
    <row r="8" spans="1:3" ht="12.75">
      <c r="A8" s="53" t="s">
        <v>137</v>
      </c>
      <c r="C8" s="54"/>
    </row>
    <row r="9" spans="1:3" ht="12.75">
      <c r="A9" s="53" t="s">
        <v>92</v>
      </c>
      <c r="C9" s="54"/>
    </row>
    <row r="10" spans="1:3" ht="13.5" thickBot="1">
      <c r="A10" s="50"/>
      <c r="B10" s="51"/>
      <c r="C10" s="52"/>
    </row>
    <row r="11" spans="1:3" ht="12.75">
      <c r="A11" s="55" t="s">
        <v>93</v>
      </c>
      <c r="B11" s="56" t="s">
        <v>94</v>
      </c>
      <c r="C11" s="57" t="s">
        <v>95</v>
      </c>
    </row>
    <row r="12" spans="1:3" ht="13.5" thickBot="1">
      <c r="A12" s="58"/>
      <c r="B12" s="59" t="s">
        <v>96</v>
      </c>
      <c r="C12" s="60" t="s">
        <v>97</v>
      </c>
    </row>
    <row r="13" spans="1:3" ht="12.75">
      <c r="A13" s="61"/>
      <c r="B13" s="2"/>
      <c r="C13" s="62"/>
    </row>
    <row r="14" spans="1:3" ht="12.75">
      <c r="A14" s="63" t="s">
        <v>98</v>
      </c>
      <c r="B14" s="2"/>
      <c r="C14" s="49">
        <v>2017</v>
      </c>
    </row>
    <row r="15" spans="1:3" ht="13.5" thickBot="1">
      <c r="A15" s="61"/>
      <c r="B15" s="2"/>
      <c r="C15" s="49"/>
    </row>
    <row r="16" spans="1:3" ht="12.75">
      <c r="A16" s="64">
        <v>100</v>
      </c>
      <c r="B16" s="65" t="s">
        <v>99</v>
      </c>
      <c r="C16" s="74">
        <v>3512156</v>
      </c>
    </row>
    <row r="17" spans="1:3" ht="12.75">
      <c r="A17" s="61">
        <v>101</v>
      </c>
      <c r="B17" s="66" t="s">
        <v>100</v>
      </c>
      <c r="C17" s="75">
        <v>166755</v>
      </c>
    </row>
    <row r="18" spans="1:3" ht="12.75">
      <c r="A18" s="61">
        <v>102</v>
      </c>
      <c r="B18" s="66" t="s">
        <v>101</v>
      </c>
      <c r="C18" s="75">
        <v>167531</v>
      </c>
    </row>
    <row r="19" spans="1:3" ht="12.75">
      <c r="A19" s="61"/>
      <c r="B19" s="66"/>
      <c r="C19" s="75">
        <v>0</v>
      </c>
    </row>
    <row r="20" spans="1:3" ht="12.75">
      <c r="A20" s="61">
        <v>200</v>
      </c>
      <c r="B20" s="66" t="s">
        <v>102</v>
      </c>
      <c r="C20" s="75">
        <v>3051801</v>
      </c>
    </row>
    <row r="21" spans="1:3" ht="12.75">
      <c r="A21" s="61">
        <v>201</v>
      </c>
      <c r="B21" s="66" t="s">
        <v>103</v>
      </c>
      <c r="C21" s="75">
        <v>157865</v>
      </c>
    </row>
    <row r="22" spans="1:3" ht="12.75">
      <c r="A22" s="61">
        <v>202</v>
      </c>
      <c r="B22" s="66" t="s">
        <v>104</v>
      </c>
      <c r="C22" s="75">
        <v>72679</v>
      </c>
    </row>
    <row r="23" spans="1:3" ht="12.75">
      <c r="A23" s="61"/>
      <c r="B23" s="66"/>
      <c r="C23" s="75">
        <v>0</v>
      </c>
    </row>
    <row r="24" spans="1:3" ht="12.75">
      <c r="A24" s="61">
        <v>301</v>
      </c>
      <c r="B24" s="66" t="s">
        <v>105</v>
      </c>
      <c r="C24" s="76">
        <v>5.3</v>
      </c>
    </row>
    <row r="25" spans="1:3" ht="12.75">
      <c r="A25" s="61">
        <v>302</v>
      </c>
      <c r="B25" s="66" t="s">
        <v>106</v>
      </c>
      <c r="C25" s="76">
        <v>1.8</v>
      </c>
    </row>
    <row r="26" spans="1:3" ht="12.75">
      <c r="A26" s="61"/>
      <c r="B26" s="66"/>
      <c r="C26" s="77">
        <v>0</v>
      </c>
    </row>
    <row r="27" spans="1:3" ht="12.75">
      <c r="A27" s="61">
        <v>401</v>
      </c>
      <c r="B27" s="66" t="s">
        <v>107</v>
      </c>
      <c r="C27" s="78">
        <v>0</v>
      </c>
    </row>
    <row r="28" spans="1:3" ht="12.75">
      <c r="A28" s="61">
        <v>402</v>
      </c>
      <c r="B28" s="66" t="s">
        <v>108</v>
      </c>
      <c r="C28" s="78">
        <v>0</v>
      </c>
    </row>
    <row r="29" spans="1:3" ht="12.75">
      <c r="A29" s="61">
        <v>403</v>
      </c>
      <c r="B29" s="66" t="s">
        <v>109</v>
      </c>
      <c r="C29" s="75">
        <v>0</v>
      </c>
    </row>
    <row r="30" spans="1:3" ht="12.75">
      <c r="A30" s="61"/>
      <c r="B30" s="66"/>
      <c r="C30" s="75">
        <v>0</v>
      </c>
    </row>
    <row r="31" spans="1:3" ht="12.75">
      <c r="A31" s="61">
        <v>404</v>
      </c>
      <c r="B31" s="66" t="s">
        <v>110</v>
      </c>
      <c r="C31" s="78">
        <v>1020</v>
      </c>
    </row>
    <row r="32" spans="1:3" ht="12.75">
      <c r="A32" s="61">
        <v>405</v>
      </c>
      <c r="B32" s="66" t="s">
        <v>111</v>
      </c>
      <c r="C32" s="78">
        <v>1025</v>
      </c>
    </row>
    <row r="33" spans="1:3" ht="12.75">
      <c r="A33" s="61">
        <v>406</v>
      </c>
      <c r="B33" s="66" t="s">
        <v>112</v>
      </c>
      <c r="C33" s="75">
        <v>21491</v>
      </c>
    </row>
    <row r="34" spans="1:3" ht="12.75">
      <c r="A34" s="61"/>
      <c r="B34" s="66"/>
      <c r="C34" s="75">
        <v>0</v>
      </c>
    </row>
    <row r="35" spans="1:3" ht="12.75">
      <c r="A35" s="61">
        <v>501.1</v>
      </c>
      <c r="B35" s="66" t="s">
        <v>113</v>
      </c>
      <c r="C35" s="75">
        <v>2055</v>
      </c>
    </row>
    <row r="36" spans="1:3" ht="12.75">
      <c r="A36" s="61">
        <v>501.2</v>
      </c>
      <c r="B36" s="66" t="s">
        <v>114</v>
      </c>
      <c r="C36" s="78">
        <v>8433</v>
      </c>
    </row>
    <row r="37" spans="1:3" ht="12.75">
      <c r="A37" s="61">
        <v>501</v>
      </c>
      <c r="B37" s="66" t="s">
        <v>115</v>
      </c>
      <c r="C37" s="75">
        <v>10488</v>
      </c>
    </row>
    <row r="38" spans="1:3" ht="12.75">
      <c r="A38" s="61"/>
      <c r="B38" s="66"/>
      <c r="C38" s="75">
        <v>0</v>
      </c>
    </row>
    <row r="39" spans="1:3" ht="12.75">
      <c r="A39" s="61">
        <v>502.1</v>
      </c>
      <c r="B39" s="66" t="s">
        <v>116</v>
      </c>
      <c r="C39" s="75">
        <v>706</v>
      </c>
    </row>
    <row r="40" spans="1:3" ht="12.75">
      <c r="A40" s="61">
        <v>502.2</v>
      </c>
      <c r="B40" s="66" t="s">
        <v>117</v>
      </c>
      <c r="C40" s="78">
        <v>1</v>
      </c>
    </row>
    <row r="41" spans="1:3" ht="12.75">
      <c r="A41" s="61">
        <v>502</v>
      </c>
      <c r="B41" s="66" t="s">
        <v>118</v>
      </c>
      <c r="C41" s="75">
        <v>707</v>
      </c>
    </row>
    <row r="42" spans="1:3" ht="12.75">
      <c r="A42" s="61"/>
      <c r="B42" s="66"/>
      <c r="C42" s="75">
        <v>0</v>
      </c>
    </row>
    <row r="43" spans="1:3" ht="12.75">
      <c r="A43" s="61">
        <v>503</v>
      </c>
      <c r="B43" s="66" t="s">
        <v>119</v>
      </c>
      <c r="C43" s="78">
        <v>68856</v>
      </c>
    </row>
    <row r="44" spans="1:3" ht="13.5" thickBot="1">
      <c r="A44" s="67">
        <v>504</v>
      </c>
      <c r="B44" s="68" t="s">
        <v>120</v>
      </c>
      <c r="C44" s="79">
        <v>-49818</v>
      </c>
    </row>
    <row r="45" spans="1:3" ht="12.75">
      <c r="A45" s="61"/>
      <c r="B45" s="2"/>
      <c r="C45" s="62"/>
    </row>
    <row r="46" spans="1:3" ht="12.75">
      <c r="A46" s="63" t="s">
        <v>121</v>
      </c>
      <c r="B46" s="45"/>
      <c r="C46" s="62"/>
    </row>
    <row r="47" spans="1:3" ht="13.5" thickBot="1">
      <c r="A47" s="61"/>
      <c r="B47" s="2"/>
      <c r="C47" s="62"/>
    </row>
    <row r="48" spans="1:3" ht="12.75">
      <c r="A48" s="64">
        <v>601</v>
      </c>
      <c r="B48" s="65" t="s">
        <v>122</v>
      </c>
      <c r="C48" s="80">
        <v>320990</v>
      </c>
    </row>
    <row r="49" spans="1:3" ht="12.75">
      <c r="A49" s="61">
        <v>602</v>
      </c>
      <c r="B49" s="66" t="s">
        <v>123</v>
      </c>
      <c r="C49" s="78">
        <v>2158</v>
      </c>
    </row>
    <row r="50" spans="1:3" ht="13.5" thickBot="1">
      <c r="A50" s="67">
        <v>603</v>
      </c>
      <c r="B50" s="68" t="s">
        <v>124</v>
      </c>
      <c r="C50" s="79">
        <v>12518</v>
      </c>
    </row>
    <row r="51" spans="1:3" ht="13.5" thickBot="1">
      <c r="A51" s="61"/>
      <c r="B51" s="2"/>
      <c r="C51" s="62"/>
    </row>
    <row r="52" spans="1:3" ht="13.5" thickBot="1">
      <c r="A52" s="69">
        <v>700</v>
      </c>
      <c r="B52" s="70" t="s">
        <v>125</v>
      </c>
      <c r="C52" s="71" t="s">
        <v>126</v>
      </c>
    </row>
    <row r="53" spans="1:3" ht="12.75">
      <c r="A53" s="81"/>
      <c r="B53" s="81"/>
      <c r="C53" s="81"/>
    </row>
    <row r="55" ht="12.75">
      <c r="B55" s="2"/>
    </row>
    <row r="64" ht="12.75">
      <c r="D64" s="84"/>
    </row>
  </sheetData>
  <sheetProtection/>
  <mergeCells count="5">
    <mergeCell ref="A1:C1"/>
    <mergeCell ref="A2:C2"/>
    <mergeCell ref="A4:C4"/>
    <mergeCell ref="A5:C5"/>
    <mergeCell ref="A6:C6"/>
  </mergeCells>
  <printOptions gridLines="1"/>
  <pageMargins left="0.75" right="0.75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Monroe</dc:creator>
  <cp:keywords/>
  <dc:description/>
  <cp:lastModifiedBy>Hinton, Daniel E (PSC)</cp:lastModifiedBy>
  <cp:lastPrinted>2019-09-25T21:51:10Z</cp:lastPrinted>
  <dcterms:created xsi:type="dcterms:W3CDTF">2003-02-27T19:25:30Z</dcterms:created>
  <dcterms:modified xsi:type="dcterms:W3CDTF">2023-03-21T17:37:54Z</dcterms:modified>
  <cp:category/>
  <cp:version/>
  <cp:contentType/>
  <cp:contentStatus/>
</cp:coreProperties>
</file>